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\財報更新相關資料\"/>
    </mc:Choice>
  </mc:AlternateContent>
  <xr:revisionPtr revIDLastSave="0" documentId="13_ncr:1_{2D33BCBF-A3B6-4520-9912-8DCD68F9B739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IS-YoY" sheetId="3" r:id="rId1"/>
    <sheet name="IS-QoQ" sheetId="1" r:id="rId2"/>
    <sheet name="B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25" i="2" l="1"/>
  <c r="CN23" i="2"/>
  <c r="CN22" i="2"/>
  <c r="CN21" i="2"/>
  <c r="CN20" i="2"/>
  <c r="CN18" i="2"/>
  <c r="CN17" i="2"/>
  <c r="CN16" i="2"/>
  <c r="CN15" i="2"/>
  <c r="CN14" i="2"/>
  <c r="CN12" i="2"/>
  <c r="CN11" i="2"/>
  <c r="CN10" i="2"/>
  <c r="CN9" i="2"/>
  <c r="CN7" i="2"/>
  <c r="CN6" i="2"/>
  <c r="CN5" i="2"/>
  <c r="CN4" i="2"/>
  <c r="CN3" i="2"/>
  <c r="BB7" i="1"/>
  <c r="CL25" i="2"/>
  <c r="CL23" i="2"/>
  <c r="CL22" i="2"/>
  <c r="CL21" i="2"/>
  <c r="CL20" i="2"/>
  <c r="CL18" i="2"/>
  <c r="CL17" i="2"/>
  <c r="CL16" i="2"/>
  <c r="CL15" i="2"/>
  <c r="CL14" i="2"/>
  <c r="CL12" i="2"/>
  <c r="CL11" i="2"/>
  <c r="CL10" i="2"/>
  <c r="CL9" i="2"/>
  <c r="CL7" i="2"/>
  <c r="CL6" i="2"/>
  <c r="CL5" i="2"/>
  <c r="CL4" i="2"/>
  <c r="CL3" i="2"/>
  <c r="CJ25" i="2"/>
  <c r="CJ23" i="2"/>
  <c r="CJ22" i="2"/>
  <c r="CJ21" i="2"/>
  <c r="CJ20" i="2"/>
  <c r="CJ18" i="2"/>
  <c r="CJ16" i="2"/>
  <c r="CJ15" i="2"/>
  <c r="CJ14" i="2"/>
  <c r="CJ12" i="2"/>
  <c r="CJ10" i="2"/>
  <c r="CJ9" i="2"/>
  <c r="CJ7" i="2"/>
  <c r="CJ5" i="2"/>
  <c r="CJ4" i="2"/>
  <c r="CJ3" i="2"/>
  <c r="CB25" i="2"/>
  <c r="CB23" i="2"/>
  <c r="CB21" i="2"/>
  <c r="CB20" i="2"/>
  <c r="CB18" i="2"/>
  <c r="CB16" i="2"/>
  <c r="CB15" i="2"/>
  <c r="CB14" i="2"/>
  <c r="CB12" i="2"/>
  <c r="CB10" i="2"/>
  <c r="CB9" i="2"/>
  <c r="CB7" i="2"/>
  <c r="CB5" i="2"/>
  <c r="CB4" i="2"/>
  <c r="CB3" i="2"/>
  <c r="BT25" i="2"/>
  <c r="BT23" i="2"/>
  <c r="BT21" i="2"/>
  <c r="BT20" i="2"/>
  <c r="BT18" i="2"/>
  <c r="BT15" i="2"/>
  <c r="BT14" i="2"/>
  <c r="BT12" i="2"/>
  <c r="BT10" i="2"/>
  <c r="BT9" i="2"/>
  <c r="BT7" i="2"/>
  <c r="BT5" i="2"/>
  <c r="BT4" i="2"/>
  <c r="BT3" i="2"/>
  <c r="BL25" i="2"/>
  <c r="BL23" i="2"/>
  <c r="BL21" i="2"/>
  <c r="BL20" i="2"/>
  <c r="BL18" i="2"/>
  <c r="BL15" i="2"/>
  <c r="BL14" i="2"/>
  <c r="BL12" i="2"/>
  <c r="BL10" i="2"/>
  <c r="BL9" i="2"/>
  <c r="BL7" i="2"/>
  <c r="BL5" i="2"/>
  <c r="BL3" i="2"/>
  <c r="AU13" i="1" l="1"/>
  <c r="CI17" i="2"/>
  <c r="CJ17" i="2" s="1"/>
  <c r="CI11" i="2"/>
  <c r="CJ11" i="2" s="1"/>
  <c r="CI6" i="2"/>
  <c r="CJ6" i="2" s="1"/>
  <c r="AT22" i="1"/>
  <c r="AT8" i="1"/>
  <c r="AT9" i="1" s="1"/>
  <c r="M22" i="3"/>
  <c r="M8" i="3"/>
  <c r="CH25" i="2"/>
  <c r="CH23" i="2"/>
  <c r="CH22" i="2"/>
  <c r="CH21" i="2"/>
  <c r="CH20" i="2"/>
  <c r="CH18" i="2"/>
  <c r="CH17" i="2"/>
  <c r="CH16" i="2"/>
  <c r="CH15" i="2"/>
  <c r="CH14" i="2"/>
  <c r="CG17" i="2"/>
  <c r="CG11" i="2"/>
  <c r="CG6" i="2"/>
  <c r="CF25" i="2"/>
  <c r="CF23" i="2"/>
  <c r="CF21" i="2"/>
  <c r="CF20" i="2"/>
  <c r="CF18" i="2"/>
  <c r="CF16" i="2"/>
  <c r="CF15" i="2"/>
  <c r="CF14" i="2"/>
  <c r="CF12" i="2"/>
  <c r="CF10" i="2"/>
  <c r="CF9" i="2"/>
  <c r="CF7" i="2"/>
  <c r="CF5" i="2"/>
  <c r="CF4" i="2"/>
  <c r="CF3" i="2"/>
  <c r="AR22" i="1"/>
  <c r="AR9" i="1"/>
  <c r="CE22" i="2"/>
  <c r="CF22" i="2" s="1"/>
  <c r="CE17" i="2"/>
  <c r="CF17" i="2" s="1"/>
  <c r="CE11" i="2"/>
  <c r="CF11" i="2" s="1"/>
  <c r="CE6" i="2"/>
  <c r="CF6" i="2" s="1"/>
  <c r="CA22" i="2" l="1"/>
  <c r="CB22" i="2" s="1"/>
  <c r="CA17" i="2"/>
  <c r="CB17" i="2" s="1"/>
  <c r="CA11" i="2"/>
  <c r="CB11" i="2" s="1"/>
  <c r="CA6" i="2"/>
  <c r="CB6" i="2" s="1"/>
  <c r="L22" i="3"/>
  <c r="L13" i="3"/>
  <c r="L8" i="3"/>
  <c r="AP22" i="1"/>
  <c r="AP8" i="1"/>
  <c r="AP9" i="1" s="1"/>
  <c r="BZ25" i="2" l="1"/>
  <c r="BZ23" i="2"/>
  <c r="BZ21" i="2"/>
  <c r="BZ20" i="2"/>
  <c r="BZ18" i="2"/>
  <c r="BZ16" i="2"/>
  <c r="BZ15" i="2"/>
  <c r="BZ14" i="2"/>
  <c r="BZ12" i="2"/>
  <c r="BZ10" i="2"/>
  <c r="BZ9" i="2"/>
  <c r="BZ7" i="2"/>
  <c r="BZ5" i="2"/>
  <c r="BZ4" i="2"/>
  <c r="BZ3" i="2"/>
  <c r="BY22" i="2"/>
  <c r="BZ22" i="2" s="1"/>
  <c r="BY17" i="2"/>
  <c r="BZ17" i="2" s="1"/>
  <c r="BY11" i="2"/>
  <c r="BZ11" i="2" s="1"/>
  <c r="BY6" i="2"/>
  <c r="BZ6" i="2" s="1"/>
  <c r="AO22" i="1"/>
  <c r="AO8" i="1"/>
  <c r="AO9" i="1" s="1"/>
  <c r="BX25" i="2" l="1"/>
  <c r="BX23" i="2"/>
  <c r="BX21" i="2"/>
  <c r="BX20" i="2"/>
  <c r="BX18" i="2"/>
  <c r="BX17" i="2"/>
  <c r="BX16" i="2"/>
  <c r="BX15" i="2"/>
  <c r="BX14" i="2"/>
  <c r="BX12" i="2"/>
  <c r="BX11" i="2"/>
  <c r="BX10" i="2"/>
  <c r="BX9" i="2"/>
  <c r="BX7" i="2"/>
  <c r="BX6" i="2"/>
  <c r="BX5" i="2"/>
  <c r="BX4" i="2"/>
  <c r="BX3" i="2"/>
  <c r="BW22" i="2"/>
  <c r="BX22" i="2" s="1"/>
  <c r="BW17" i="2"/>
  <c r="BW11" i="2"/>
  <c r="BW6" i="2"/>
  <c r="AN22" i="1"/>
  <c r="AN8" i="1"/>
  <c r="AB8" i="1" l="1"/>
  <c r="AB9" i="1" s="1"/>
  <c r="AC8" i="1"/>
  <c r="AC9" i="1" s="1"/>
  <c r="AE8" i="1"/>
  <c r="AE9" i="1" s="1"/>
  <c r="AI8" i="1"/>
  <c r="AJ8" i="1"/>
  <c r="AL8" i="1"/>
  <c r="AM8" i="1"/>
  <c r="AE13" i="1"/>
  <c r="AE17" i="1" s="1"/>
  <c r="AI13" i="1"/>
  <c r="AF15" i="1"/>
  <c r="AB17" i="1"/>
  <c r="AI17" i="1"/>
  <c r="AI19" i="1"/>
  <c r="AB22" i="1"/>
  <c r="AC22" i="1"/>
  <c r="AE22" i="1"/>
  <c r="AF22" i="1"/>
  <c r="AJ22" i="1"/>
  <c r="AL22" i="1"/>
  <c r="AM22" i="1"/>
  <c r="J17" i="3"/>
  <c r="H17" i="3"/>
  <c r="G17" i="3"/>
  <c r="F17" i="3"/>
  <c r="E17" i="3"/>
  <c r="H15" i="3"/>
  <c r="G15" i="3"/>
  <c r="F15" i="3"/>
  <c r="E15" i="3"/>
  <c r="D15" i="3"/>
  <c r="C15" i="3"/>
  <c r="H13" i="3"/>
  <c r="G13" i="3"/>
  <c r="F13" i="3"/>
  <c r="E13" i="3"/>
  <c r="D13" i="3"/>
  <c r="C13" i="3"/>
  <c r="K8" i="3"/>
  <c r="K9" i="3" s="1"/>
  <c r="K19" i="3" s="1"/>
  <c r="K22" i="3" s="1"/>
  <c r="J8" i="3"/>
  <c r="J9" i="3" s="1"/>
  <c r="J19" i="3" s="1"/>
  <c r="J22" i="3" s="1"/>
  <c r="I8" i="3"/>
  <c r="I9" i="3" s="1"/>
  <c r="I19" i="3" s="1"/>
  <c r="I22" i="3" s="1"/>
  <c r="H8" i="3"/>
  <c r="H9" i="3" s="1"/>
  <c r="G8" i="3"/>
  <c r="G9" i="3" s="1"/>
  <c r="G19" i="3" s="1"/>
  <c r="G22" i="3" s="1"/>
  <c r="F8" i="3"/>
  <c r="F9" i="3" s="1"/>
  <c r="F19" i="3" s="1"/>
  <c r="F22" i="3" s="1"/>
  <c r="E8" i="3"/>
  <c r="E9" i="3" s="1"/>
  <c r="E19" i="3" s="1"/>
  <c r="E22" i="3" s="1"/>
  <c r="D8" i="3"/>
  <c r="D9" i="3" s="1"/>
  <c r="D19" i="3" s="1"/>
  <c r="D22" i="3" s="1"/>
  <c r="C8" i="3"/>
  <c r="C9" i="3" s="1"/>
  <c r="C19" i="3" s="1"/>
  <c r="C22" i="3" s="1"/>
  <c r="H19" i="3" l="1"/>
  <c r="H22" i="3" s="1"/>
  <c r="BV25" i="2"/>
  <c r="BV23" i="2"/>
  <c r="BV21" i="2"/>
  <c r="BV20" i="2"/>
  <c r="BV18" i="2"/>
  <c r="BV17" i="2"/>
  <c r="BV16" i="2"/>
  <c r="BV15" i="2"/>
  <c r="BV14" i="2"/>
  <c r="BV12" i="2"/>
  <c r="BV10" i="2"/>
  <c r="BV9" i="2"/>
  <c r="BV7" i="2"/>
  <c r="BV6" i="2"/>
  <c r="BV5" i="2"/>
  <c r="BV4" i="2"/>
  <c r="BV3" i="2"/>
  <c r="BU22" i="2"/>
  <c r="BV22" i="2" s="1"/>
  <c r="BU17" i="2"/>
  <c r="BU11" i="2"/>
  <c r="BV11" i="2" s="1"/>
  <c r="BU6" i="2"/>
  <c r="BS22" i="2" l="1"/>
  <c r="BT22" i="2" s="1"/>
  <c r="BS16" i="2"/>
  <c r="BT16" i="2" s="1"/>
  <c r="BS17" i="2"/>
  <c r="BT17" i="2" s="1"/>
  <c r="BS11" i="2"/>
  <c r="BT11" i="2" s="1"/>
  <c r="BS6" i="2"/>
  <c r="BT6" i="2" s="1"/>
  <c r="BP25" i="2"/>
  <c r="BP23" i="2"/>
  <c r="BO22" i="2"/>
  <c r="BP22" i="2"/>
  <c r="BP21" i="2"/>
  <c r="BP20" i="2"/>
  <c r="BP18" i="2"/>
  <c r="BO17" i="2"/>
  <c r="BP17" i="2"/>
  <c r="BP16" i="2"/>
  <c r="BP15" i="2"/>
  <c r="BP14" i="2"/>
  <c r="BP12" i="2"/>
  <c r="BO11" i="2"/>
  <c r="BP11" i="2"/>
  <c r="BP10" i="2"/>
  <c r="BP9" i="2"/>
  <c r="BP7" i="2"/>
  <c r="BO6" i="2"/>
  <c r="BP6" i="2"/>
  <c r="BP5" i="2"/>
  <c r="BP4" i="2"/>
  <c r="BP3" i="2"/>
  <c r="BM22" i="2"/>
  <c r="BM16" i="2"/>
  <c r="BM17" i="2"/>
  <c r="BM11" i="2"/>
  <c r="BM6" i="2"/>
  <c r="BK16" i="2"/>
  <c r="BL16" i="2" s="1"/>
  <c r="BK22" i="2"/>
  <c r="BL22" i="2" s="1"/>
  <c r="BK17" i="2"/>
  <c r="BL17" i="2" s="1"/>
  <c r="BK11" i="2"/>
  <c r="BL11" i="2" s="1"/>
  <c r="BK4" i="2"/>
  <c r="BL4" i="2" s="1"/>
  <c r="BK6" i="2"/>
  <c r="BL6" i="2" s="1"/>
  <c r="BG22" i="2"/>
  <c r="BG16" i="2"/>
  <c r="BG17" i="2"/>
  <c r="BG11" i="2"/>
  <c r="BG4" i="2"/>
  <c r="BG6" i="2"/>
  <c r="BF21" i="2"/>
  <c r="BD25" i="2"/>
  <c r="BD23" i="2"/>
  <c r="BC22" i="2"/>
  <c r="BD22" i="2" s="1"/>
  <c r="BD20" i="2"/>
  <c r="BD21" i="2"/>
  <c r="BD18" i="2"/>
  <c r="BC17" i="2"/>
  <c r="BD17" i="2"/>
  <c r="BD16" i="2"/>
  <c r="BD15" i="2"/>
  <c r="BD14" i="2"/>
  <c r="BD12" i="2"/>
  <c r="BC11" i="2"/>
  <c r="BD11" i="2"/>
  <c r="BD10" i="2"/>
  <c r="BD9" i="2"/>
  <c r="BD7" i="2"/>
  <c r="BC6" i="2"/>
  <c r="BD6" i="2" s="1"/>
  <c r="BD5" i="2"/>
  <c r="BD4" i="2"/>
  <c r="BD3" i="2"/>
  <c r="BB25" i="2"/>
  <c r="BB23" i="2"/>
  <c r="BB22" i="2"/>
  <c r="BB20" i="2"/>
  <c r="BB21" i="2"/>
  <c r="BB18" i="2"/>
  <c r="BA16" i="2"/>
  <c r="BB16" i="2"/>
  <c r="BB15" i="2"/>
  <c r="BB14" i="2"/>
  <c r="BB12" i="2"/>
  <c r="BA11" i="2"/>
  <c r="BB11" i="2" s="1"/>
  <c r="BB10" i="2"/>
  <c r="BB9" i="2"/>
  <c r="BB7" i="2"/>
  <c r="BB5" i="2"/>
  <c r="BA4" i="2"/>
  <c r="BB4" i="2"/>
  <c r="BB3" i="2"/>
  <c r="BA6" i="2"/>
  <c r="BB6" i="2"/>
  <c r="BA17" i="2"/>
  <c r="BB17" i="2"/>
  <c r="AZ25" i="2"/>
  <c r="AZ20" i="2"/>
  <c r="AZ23" i="2"/>
  <c r="AZ21" i="2"/>
  <c r="AZ15" i="2"/>
  <c r="AY16" i="2"/>
  <c r="AY17" i="2"/>
  <c r="AZ17" i="2"/>
  <c r="AZ18" i="2"/>
  <c r="AZ14" i="2"/>
  <c r="AZ10" i="2"/>
  <c r="AZ12" i="2"/>
  <c r="AZ9" i="2"/>
  <c r="AY5" i="2"/>
  <c r="AY6" i="2" s="1"/>
  <c r="AZ6" i="2" s="1"/>
  <c r="AZ5" i="2"/>
  <c r="AZ7" i="2"/>
  <c r="AY22" i="2"/>
  <c r="AZ22" i="2"/>
  <c r="AW22" i="2"/>
  <c r="AS22" i="2"/>
  <c r="AY11" i="2"/>
  <c r="AZ11" i="2"/>
  <c r="AY4" i="2"/>
  <c r="AZ4" i="2"/>
  <c r="AY3" i="2"/>
  <c r="AZ3" i="2"/>
  <c r="AZ16" i="2"/>
  <c r="AW16" i="2"/>
  <c r="AW17" i="2"/>
  <c r="AW11" i="2"/>
  <c r="AW4" i="2"/>
  <c r="AW6" i="2"/>
  <c r="AR4" i="2"/>
  <c r="AR5" i="2"/>
  <c r="AR6" i="2"/>
  <c r="AR7" i="2"/>
  <c r="AR9" i="2"/>
  <c r="AR10" i="2"/>
  <c r="AR11" i="2"/>
  <c r="AR12" i="2"/>
  <c r="AR14" i="2"/>
  <c r="AR15" i="2"/>
  <c r="AR16" i="2"/>
  <c r="AR17" i="2"/>
  <c r="AR18" i="2"/>
  <c r="AR21" i="2"/>
  <c r="AR20" i="2"/>
  <c r="AR22" i="2"/>
  <c r="AR23" i="2"/>
  <c r="AR25" i="2"/>
  <c r="AR3" i="2"/>
  <c r="Q17" i="1"/>
  <c r="Q15" i="1"/>
  <c r="Q13" i="1"/>
  <c r="Q9" i="1"/>
  <c r="Q19" i="1" s="1"/>
  <c r="Q22" i="1" s="1"/>
  <c r="P17" i="1"/>
  <c r="P15" i="1"/>
  <c r="P13" i="1"/>
  <c r="P9" i="1"/>
  <c r="P19" i="1" s="1"/>
  <c r="P22" i="1" s="1"/>
  <c r="CH4" i="2"/>
  <c r="CH9" i="2"/>
  <c r="CH10" i="2"/>
  <c r="CH5" i="2"/>
  <c r="CH11" i="2"/>
  <c r="CH7" i="2"/>
  <c r="CH3" i="2"/>
  <c r="CH12" i="2"/>
  <c r="CH6" i="2"/>
  <c r="BN16" i="2"/>
  <c r="BN5" i="2"/>
  <c r="BN21" i="2"/>
  <c r="BN14" i="2"/>
  <c r="BN6" i="2"/>
  <c r="BN4" i="2"/>
  <c r="BN3" i="2"/>
  <c r="BN13" i="2"/>
  <c r="BN22" i="2"/>
  <c r="BN7" i="2"/>
  <c r="BN23" i="2"/>
  <c r="BN15" i="2"/>
  <c r="BN25" i="2"/>
  <c r="BN20" i="2"/>
  <c r="BN11" i="2"/>
  <c r="BN18" i="2"/>
  <c r="BN10" i="2"/>
  <c r="BN9" i="2"/>
  <c r="BN12" i="2"/>
  <c r="BN17" i="2"/>
</calcChain>
</file>

<file path=xl/sharedStrings.xml><?xml version="1.0" encoding="utf-8"?>
<sst xmlns="http://schemas.openxmlformats.org/spreadsheetml/2006/main" count="190" uniqueCount="156">
  <si>
    <t>NT$ M</t>
  </si>
  <si>
    <t>Net Revenue</t>
  </si>
  <si>
    <t>Realized gross profit</t>
  </si>
  <si>
    <t>Selling</t>
  </si>
  <si>
    <t>Administrative</t>
  </si>
  <si>
    <t>Research &amp; Development</t>
  </si>
  <si>
    <t>Total Operation Expenses</t>
  </si>
  <si>
    <t>Non-operating Income/(Loss)</t>
  </si>
  <si>
    <t xml:space="preserve">     Interest Expense, net</t>
  </si>
  <si>
    <t xml:space="preserve">     LT Investment Income/(Loss), net</t>
  </si>
  <si>
    <t xml:space="preserve">     Other Income/(Expense)</t>
  </si>
  <si>
    <t>Tax</t>
  </si>
  <si>
    <t>Minority Interest</t>
  </si>
  <si>
    <t>EPS</t>
  </si>
  <si>
    <t xml:space="preserve">  其它</t>
  </si>
  <si>
    <t>NT$M</t>
    <phoneticPr fontId="4" type="noConversion"/>
  </si>
  <si>
    <t>Cash &amp; ST Investments</t>
  </si>
  <si>
    <t>A/R</t>
  </si>
  <si>
    <t>Inventory</t>
  </si>
  <si>
    <t>Other current Assets</t>
    <phoneticPr fontId="4" type="noConversion"/>
  </si>
  <si>
    <t>Total Current Assets</t>
    <phoneticPr fontId="4" type="noConversion"/>
  </si>
  <si>
    <t>LT equity investments</t>
    <phoneticPr fontId="4" type="noConversion"/>
  </si>
  <si>
    <t>Property, plant and equipment</t>
  </si>
  <si>
    <t>Other assets</t>
    <phoneticPr fontId="4" type="noConversion"/>
  </si>
  <si>
    <t>Total Assets</t>
  </si>
  <si>
    <t>ST Borrowing</t>
    <phoneticPr fontId="4" type="noConversion"/>
  </si>
  <si>
    <t>Current Portion of LT Debt</t>
    <phoneticPr fontId="4" type="noConversion"/>
  </si>
  <si>
    <t>A/P</t>
  </si>
  <si>
    <t>Other current liabilities</t>
    <phoneticPr fontId="4" type="noConversion"/>
  </si>
  <si>
    <t>Bonds Payable</t>
    <phoneticPr fontId="4" type="noConversion"/>
  </si>
  <si>
    <t>LT Debt</t>
    <phoneticPr fontId="4" type="noConversion"/>
  </si>
  <si>
    <t>Other liabilities</t>
    <phoneticPr fontId="4" type="noConversion"/>
  </si>
  <si>
    <t>短期借款</t>
    <phoneticPr fontId="4" type="noConversion"/>
  </si>
  <si>
    <t>Total Current Liabilities</t>
    <phoneticPr fontId="4" type="noConversion"/>
  </si>
  <si>
    <t>Total Liabilities</t>
    <phoneticPr fontId="4" type="noConversion"/>
  </si>
  <si>
    <t>Q1'13</t>
    <phoneticPr fontId="3" type="noConversion"/>
  </si>
  <si>
    <t>Q2'13</t>
    <phoneticPr fontId="3" type="noConversion"/>
  </si>
  <si>
    <t>Q3'13</t>
    <phoneticPr fontId="3" type="noConversion"/>
  </si>
  <si>
    <t>Q4'13</t>
    <phoneticPr fontId="3" type="noConversion"/>
  </si>
  <si>
    <t>Q1'14</t>
    <phoneticPr fontId="3" type="noConversion"/>
  </si>
  <si>
    <t>Q2'14</t>
    <phoneticPr fontId="3" type="noConversion"/>
  </si>
  <si>
    <t>Q3'14</t>
    <phoneticPr fontId="3" type="noConversion"/>
  </si>
  <si>
    <t>4Q'14</t>
    <phoneticPr fontId="3" type="noConversion"/>
  </si>
  <si>
    <t>Q1'15</t>
    <phoneticPr fontId="3" type="noConversion"/>
  </si>
  <si>
    <t>Q2'15</t>
    <phoneticPr fontId="3" type="noConversion"/>
  </si>
  <si>
    <t>Q3'15</t>
    <phoneticPr fontId="3" type="noConversion"/>
  </si>
  <si>
    <t>Q4'15</t>
    <phoneticPr fontId="3" type="noConversion"/>
  </si>
  <si>
    <t>Q1'16</t>
    <phoneticPr fontId="3" type="noConversion"/>
  </si>
  <si>
    <t>2013/3/31</t>
    <phoneticPr fontId="4" type="noConversion"/>
  </si>
  <si>
    <t>2013/6/30</t>
    <phoneticPr fontId="4" type="noConversion"/>
  </si>
  <si>
    <t>2013/9/30</t>
    <phoneticPr fontId="4" type="noConversion"/>
  </si>
  <si>
    <t>2013/12/31</t>
    <phoneticPr fontId="4" type="noConversion"/>
  </si>
  <si>
    <t>2014/3/31</t>
    <phoneticPr fontId="4" type="noConversion"/>
  </si>
  <si>
    <t>2014/6/30</t>
    <phoneticPr fontId="4" type="noConversion"/>
  </si>
  <si>
    <t>2014/9/30</t>
    <phoneticPr fontId="4" type="noConversion"/>
  </si>
  <si>
    <t>2014/12/31</t>
    <phoneticPr fontId="4" type="noConversion"/>
  </si>
  <si>
    <t>2015/3/31</t>
    <phoneticPr fontId="4" type="noConversion"/>
  </si>
  <si>
    <t>2015/6/30</t>
    <phoneticPr fontId="4" type="noConversion"/>
  </si>
  <si>
    <t>2015/9/30</t>
    <phoneticPr fontId="4" type="noConversion"/>
  </si>
  <si>
    <t>2015/12/31</t>
    <phoneticPr fontId="4" type="noConversion"/>
  </si>
  <si>
    <t>2016/3/31</t>
    <phoneticPr fontId="4" type="noConversion"/>
  </si>
  <si>
    <t xml:space="preserve">     with Evaluation gain on financial instruments, net</t>
    <phoneticPr fontId="3" type="noConversion"/>
  </si>
  <si>
    <t>Q2'16</t>
    <phoneticPr fontId="3" type="noConversion"/>
  </si>
  <si>
    <t>Q3'16</t>
    <phoneticPr fontId="3" type="noConversion"/>
  </si>
  <si>
    <t>Q4'16</t>
    <phoneticPr fontId="3" type="noConversion"/>
  </si>
  <si>
    <t>Q1'17</t>
    <phoneticPr fontId="3" type="noConversion"/>
  </si>
  <si>
    <t>Q2'17</t>
    <phoneticPr fontId="3" type="noConversion"/>
  </si>
  <si>
    <t>Q3'17</t>
    <phoneticPr fontId="3" type="noConversion"/>
  </si>
  <si>
    <t>2016/6/30</t>
    <phoneticPr fontId="4" type="noConversion"/>
  </si>
  <si>
    <t>2016/9/30</t>
    <phoneticPr fontId="4" type="noConversion"/>
  </si>
  <si>
    <t>2016/12/31</t>
    <phoneticPr fontId="4" type="noConversion"/>
  </si>
  <si>
    <t>2017/3/31</t>
    <phoneticPr fontId="4" type="noConversion"/>
  </si>
  <si>
    <t>2017/6/30</t>
    <phoneticPr fontId="4" type="noConversion"/>
  </si>
  <si>
    <t>2017/9/30</t>
    <phoneticPr fontId="4" type="noConversion"/>
  </si>
  <si>
    <t>2017/12/31</t>
    <phoneticPr fontId="4" type="noConversion"/>
  </si>
  <si>
    <t>Q4'17</t>
    <phoneticPr fontId="3" type="noConversion"/>
  </si>
  <si>
    <t>Q1'18</t>
    <phoneticPr fontId="3" type="noConversion"/>
  </si>
  <si>
    <t>2018/3/31</t>
    <phoneticPr fontId="4" type="noConversion"/>
  </si>
  <si>
    <t>Q2'18</t>
    <phoneticPr fontId="3" type="noConversion"/>
  </si>
  <si>
    <t>2018/6/30</t>
    <phoneticPr fontId="4" type="noConversion"/>
  </si>
  <si>
    <t>2018/9/30</t>
    <phoneticPr fontId="4" type="noConversion"/>
  </si>
  <si>
    <t>Realized gross profit</t>
    <phoneticPr fontId="3" type="noConversion"/>
  </si>
  <si>
    <t xml:space="preserve">    Selling</t>
    <phoneticPr fontId="3" type="noConversion"/>
  </si>
  <si>
    <t xml:space="preserve">    Administrative</t>
    <phoneticPr fontId="3" type="noConversion"/>
  </si>
  <si>
    <t xml:space="preserve">    Research &amp; Development</t>
    <phoneticPr fontId="3" type="noConversion"/>
  </si>
  <si>
    <t>Q3'18</t>
  </si>
  <si>
    <t>Q1'19</t>
  </si>
  <si>
    <t>Q2'19</t>
  </si>
  <si>
    <t>Q3'19</t>
  </si>
  <si>
    <t>Q4'19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</si>
  <si>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</si>
  <si>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</si>
  <si>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</si>
  <si>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</si>
  <si>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</si>
  <si>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</si>
  <si>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</si>
  <si>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</si>
  <si>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</si>
  <si>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Q4'18</t>
    <phoneticPr fontId="3" type="noConversion"/>
  </si>
  <si>
    <t>Q2'22</t>
    <phoneticPr fontId="3" type="noConversion"/>
  </si>
  <si>
    <t>Q3'22</t>
    <phoneticPr fontId="3" type="noConversion"/>
  </si>
  <si>
    <t>Q4'22</t>
    <phoneticPr fontId="3" type="noConversion"/>
  </si>
  <si>
    <t>Q1'23</t>
    <phoneticPr fontId="3" type="noConversion"/>
  </si>
  <si>
    <t>Q2'23</t>
    <phoneticPr fontId="3" type="noConversion"/>
  </si>
  <si>
    <t>Q3'23</t>
    <phoneticPr fontId="3" type="noConversion"/>
  </si>
  <si>
    <t>Q4'23</t>
    <phoneticPr fontId="3" type="noConversion"/>
  </si>
  <si>
    <t>Operating Income</t>
    <phoneticPr fontId="3" type="noConversion"/>
  </si>
  <si>
    <t xml:space="preserve">     Exchange Gain/(Loss)</t>
    <phoneticPr fontId="3" type="noConversion"/>
  </si>
  <si>
    <t>PBT</t>
    <phoneticPr fontId="3" type="noConversion"/>
  </si>
  <si>
    <t>PAT</t>
    <phoneticPr fontId="3" type="noConversion"/>
  </si>
  <si>
    <t>新台币 (百万)</t>
    <phoneticPr fontId="4" type="noConversion"/>
  </si>
  <si>
    <t>营业收入净额</t>
    <phoneticPr fontId="3" type="noConversion"/>
  </si>
  <si>
    <t>营业毛利</t>
    <phoneticPr fontId="3" type="noConversion"/>
  </si>
  <si>
    <t>推销费用</t>
    <phoneticPr fontId="4" type="noConversion"/>
  </si>
  <si>
    <t>管理费用</t>
    <phoneticPr fontId="4" type="noConversion"/>
  </si>
  <si>
    <t>研究发展费用</t>
    <phoneticPr fontId="4" type="noConversion"/>
  </si>
  <si>
    <t>营业费用</t>
    <phoneticPr fontId="3" type="noConversion"/>
  </si>
  <si>
    <t>营业净利</t>
    <phoneticPr fontId="3" type="noConversion"/>
  </si>
  <si>
    <t>业外收入及费用</t>
    <phoneticPr fontId="3" type="noConversion"/>
  </si>
  <si>
    <t xml:space="preserve">  利息收入及费用</t>
    <phoneticPr fontId="3" type="noConversion"/>
  </si>
  <si>
    <t xml:space="preserve">  投资收益净额(损)</t>
    <phoneticPr fontId="3" type="noConversion"/>
  </si>
  <si>
    <t xml:space="preserve">  兑换与金融商品评价收入及损失净额</t>
    <phoneticPr fontId="4" type="noConversion"/>
  </si>
  <si>
    <t>税前净利</t>
    <phoneticPr fontId="3" type="noConversion"/>
  </si>
  <si>
    <t>所得税费用</t>
    <phoneticPr fontId="3" type="noConversion"/>
  </si>
  <si>
    <t>少数股权净利</t>
    <phoneticPr fontId="4" type="noConversion"/>
  </si>
  <si>
    <t>税后净利</t>
    <phoneticPr fontId="3" type="noConversion"/>
  </si>
  <si>
    <t>每股盈余</t>
    <phoneticPr fontId="4" type="noConversion"/>
  </si>
  <si>
    <t>现金及约当现金 &amp; 短期投资</t>
    <phoneticPr fontId="4" type="noConversion"/>
  </si>
  <si>
    <t>应收票据及帐款</t>
    <phoneticPr fontId="4" type="noConversion"/>
  </si>
  <si>
    <t>存货</t>
    <phoneticPr fontId="4" type="noConversion"/>
  </si>
  <si>
    <t>其它流动资产</t>
    <phoneticPr fontId="4" type="noConversion"/>
  </si>
  <si>
    <t>流动资产合计</t>
    <phoneticPr fontId="4" type="noConversion"/>
  </si>
  <si>
    <t>长期股权投</t>
    <phoneticPr fontId="4" type="noConversion"/>
  </si>
  <si>
    <t>固定资产</t>
    <phoneticPr fontId="4" type="noConversion"/>
  </si>
  <si>
    <t>其它资产</t>
    <phoneticPr fontId="4" type="noConversion"/>
  </si>
  <si>
    <t>资产总计</t>
    <phoneticPr fontId="4" type="noConversion"/>
  </si>
  <si>
    <t>一年内到期之长期借款</t>
    <phoneticPr fontId="4" type="noConversion"/>
  </si>
  <si>
    <t>应付票据及帐款</t>
    <phoneticPr fontId="4" type="noConversion"/>
  </si>
  <si>
    <t>其他短期负债</t>
    <phoneticPr fontId="4" type="noConversion"/>
  </si>
  <si>
    <t>流动负债合计</t>
    <phoneticPr fontId="4" type="noConversion"/>
  </si>
  <si>
    <t>长期负债</t>
    <phoneticPr fontId="4" type="noConversion"/>
  </si>
  <si>
    <t>应付公司债</t>
    <phoneticPr fontId="4" type="noConversion"/>
  </si>
  <si>
    <t>其他负债</t>
    <phoneticPr fontId="4" type="noConversion"/>
  </si>
  <si>
    <t>负债合计</t>
    <phoneticPr fontId="4" type="noConversion"/>
  </si>
  <si>
    <t>股东权益 &amp; 少数股权</t>
    <phoneticPr fontId="4" type="noConversion"/>
  </si>
  <si>
    <t>Shareholders' Equity</t>
    <phoneticPr fontId="4" type="noConversion"/>
  </si>
  <si>
    <t>Q1'24</t>
    <phoneticPr fontId="3" type="noConversion"/>
  </si>
  <si>
    <t>Q2'24</t>
    <phoneticPr fontId="3" type="noConversion"/>
  </si>
  <si>
    <t>Q3'24</t>
    <phoneticPr fontId="3" type="noConversion"/>
  </si>
  <si>
    <t>Q4'24</t>
    <phoneticPr fontId="3" type="noConversion"/>
  </si>
  <si>
    <t>Q1'25</t>
    <phoneticPr fontId="3" type="noConversion"/>
  </si>
  <si>
    <t>Q2'25</t>
    <phoneticPr fontId="3" type="noConversion"/>
  </si>
  <si>
    <t>Q3'25</t>
    <phoneticPr fontId="3" type="noConversion"/>
  </si>
  <si>
    <t>Q4'25</t>
    <phoneticPr fontId="3" type="noConversion"/>
  </si>
  <si>
    <t>Q1'26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</si>
</sst>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0_);[Red]\(#,##0.00\)"/>
    <numFmt numFmtId="178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0"/>
      <color indexed="63"/>
      <name val="Arial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63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Arial"/>
      <family val="2"/>
    </font>
    <font>
      <b/>
      <sz val="10"/>
      <color theme="0"/>
      <name val="標楷體"/>
      <family val="4"/>
      <charset val="136"/>
    </font>
    <font>
      <b/>
      <sz val="10"/>
      <color theme="0"/>
      <name val="Arial"/>
      <family val="2"/>
    </font>
    <font>
      <b/>
      <sz val="8"/>
      <name val="Arial"/>
      <family val="2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8"/>
      <color indexed="63"/>
      <name val="Arial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06E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54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medium">
        <color rgb="FF00506E"/>
      </bottom>
      <diagonal/>
    </border>
    <border>
      <left/>
      <right/>
      <top style="medium">
        <color rgb="FF00506E"/>
      </top>
      <bottom style="medium">
        <color rgb="FF00506E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506E"/>
      </top>
      <bottom style="medium">
        <color rgb="FF00506E"/>
      </bottom>
      <diagonal/>
    </border>
    <border>
      <left/>
      <right/>
      <top style="thick">
        <color rgb="FF00506E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2" xfId="1" applyNumberFormat="1" applyFont="1" applyBorder="1">
      <alignment vertical="center"/>
    </xf>
    <xf numFmtId="176" fontId="2" fillId="0" borderId="0" xfId="2" applyNumberFormat="1" applyFont="1" applyFill="1" applyBorder="1" applyAlignment="1"/>
    <xf numFmtId="176" fontId="2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2" fillId="0" borderId="0" xfId="1" applyNumberFormat="1" applyFont="1" applyAlignment="1"/>
    <xf numFmtId="176" fontId="5" fillId="0" borderId="0" xfId="0" applyNumberFormat="1" applyFont="1" applyAlignment="1"/>
    <xf numFmtId="176" fontId="5" fillId="0" borderId="4" xfId="0" applyNumberFormat="1" applyFont="1" applyBorder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9" fontId="10" fillId="0" borderId="0" xfId="3" applyFont="1" applyFill="1" applyBorder="1" applyAlignment="1"/>
    <xf numFmtId="0" fontId="11" fillId="0" borderId="0" xfId="0" applyFont="1">
      <alignment vertical="center"/>
    </xf>
    <xf numFmtId="176" fontId="6" fillId="0" borderId="3" xfId="0" applyNumberFormat="1" applyFont="1" applyBorder="1" applyAlignment="1"/>
    <xf numFmtId="176" fontId="7" fillId="0" borderId="3" xfId="0" applyNumberFormat="1" applyFont="1" applyBorder="1" applyAlignment="1"/>
    <xf numFmtId="9" fontId="10" fillId="0" borderId="3" xfId="3" applyFont="1" applyFill="1" applyBorder="1" applyAlignment="1"/>
    <xf numFmtId="176" fontId="6" fillId="0" borderId="4" xfId="0" applyNumberFormat="1" applyFont="1" applyBorder="1" applyAlignment="1"/>
    <xf numFmtId="176" fontId="7" fillId="0" borderId="4" xfId="0" applyNumberFormat="1" applyFont="1" applyBorder="1" applyAlignment="1"/>
    <xf numFmtId="9" fontId="10" fillId="0" borderId="4" xfId="3" applyFont="1" applyFill="1" applyBorder="1" applyAlignment="1"/>
    <xf numFmtId="43" fontId="7" fillId="0" borderId="0" xfId="2" applyFont="1" applyFill="1" applyBorder="1" applyAlignment="1"/>
    <xf numFmtId="0" fontId="8" fillId="2" borderId="0" xfId="0" applyFont="1" applyFill="1" applyAlignment="1">
      <alignment horizontal="center"/>
    </xf>
    <xf numFmtId="0" fontId="9" fillId="2" borderId="0" xfId="1" applyFont="1" applyFill="1" applyAlignment="1">
      <alignment horizontal="center"/>
    </xf>
    <xf numFmtId="176" fontId="2" fillId="0" borderId="1" xfId="1" applyNumberFormat="1" applyFont="1" applyBorder="1">
      <alignment vertical="center"/>
    </xf>
    <xf numFmtId="0" fontId="2" fillId="0" borderId="4" xfId="1" applyFont="1" applyBorder="1">
      <alignment vertical="center"/>
    </xf>
    <xf numFmtId="176" fontId="2" fillId="0" borderId="4" xfId="1" applyNumberFormat="1" applyFont="1" applyBorder="1" applyAlignment="1"/>
    <xf numFmtId="177" fontId="2" fillId="0" borderId="4" xfId="1" applyNumberFormat="1" applyFont="1" applyBorder="1" applyAlignment="1"/>
    <xf numFmtId="43" fontId="7" fillId="0" borderId="0" xfId="4" applyFont="1" applyFill="1" applyBorder="1" applyAlignment="1"/>
    <xf numFmtId="9" fontId="13" fillId="0" borderId="0" xfId="3" applyFont="1" applyFill="1" applyBorder="1" applyAlignment="1"/>
    <xf numFmtId="9" fontId="10" fillId="0" borderId="5" xfId="3" applyFont="1" applyFill="1" applyBorder="1" applyAlignment="1"/>
    <xf numFmtId="9" fontId="10" fillId="0" borderId="6" xfId="3" applyFont="1" applyFill="1" applyBorder="1" applyAlignment="1"/>
    <xf numFmtId="176" fontId="7" fillId="0" borderId="0" xfId="0" applyNumberFormat="1" applyFont="1">
      <alignment vertical="center"/>
    </xf>
    <xf numFmtId="176" fontId="2" fillId="0" borderId="7" xfId="1" applyNumberFormat="1" applyFont="1" applyBorder="1">
      <alignment vertical="center"/>
    </xf>
    <xf numFmtId="3" fontId="0" fillId="0" borderId="0" xfId="0" applyNumberFormat="1">
      <alignment vertical="center"/>
    </xf>
    <xf numFmtId="178" fontId="7" fillId="0" borderId="0" xfId="2" applyNumberFormat="1" applyFont="1" applyFill="1" applyBorder="1" applyAlignment="1"/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7" fontId="2" fillId="0" borderId="4" xfId="1" applyNumberFormat="1" applyFont="1" applyBorder="1">
      <alignment vertical="center"/>
    </xf>
    <xf numFmtId="178" fontId="7" fillId="0" borderId="0" xfId="4" applyNumberFormat="1" applyFont="1" applyFill="1" applyBorder="1" applyAlignment="1"/>
    <xf numFmtId="14" fontId="9" fillId="2" borderId="0" xfId="2" applyNumberFormat="1" applyFont="1" applyFill="1" applyBorder="1" applyAlignment="1">
      <alignment horizontal="center"/>
    </xf>
    <xf numFmtId="38" fontId="14" fillId="2" borderId="0" xfId="1" applyNumberFormat="1" applyFont="1" applyFill="1">
      <alignment vertical="center"/>
    </xf>
    <xf numFmtId="9" fontId="13" fillId="0" borderId="0" xfId="3" applyFont="1" applyFill="1" applyBorder="1" applyAlignment="1">
      <alignment vertical="center"/>
    </xf>
    <xf numFmtId="176" fontId="8" fillId="2" borderId="8" xfId="0" applyNumberFormat="1" applyFont="1" applyFill="1" applyBorder="1" applyAlignment="1"/>
    <xf numFmtId="176" fontId="9" fillId="2" borderId="8" xfId="0" applyNumberFormat="1" applyFont="1" applyFill="1" applyBorder="1" applyAlignment="1"/>
    <xf numFmtId="49" fontId="9" fillId="2" borderId="8" xfId="2" applyNumberFormat="1" applyFont="1" applyFill="1" applyBorder="1" applyAlignment="1">
      <alignment horizontal="center"/>
    </xf>
    <xf numFmtId="14" fontId="9" fillId="2" borderId="8" xfId="2" applyNumberFormat="1" applyFont="1" applyFill="1" applyBorder="1" applyAlignment="1">
      <alignment horizontal="center"/>
    </xf>
    <xf numFmtId="14" fontId="9" fillId="2" borderId="8" xfId="0" applyNumberFormat="1" applyFont="1" applyFill="1" applyBorder="1" applyAlignment="1"/>
    <xf numFmtId="0" fontId="0" fillId="0" borderId="0" xfId="0" applyAlignment="1">
      <alignment vertical="center" wrapText="1"/>
    </xf>
  </cellXfs>
  <cellStyles count="5">
    <cellStyle name="一般" xfId="0" builtinId="0"/>
    <cellStyle name="一般 2" xfId="1" xr:uid="{00000000-0005-0000-0000-000001000000}"/>
    <cellStyle name="千分位" xfId="4" builtinId="3"/>
    <cellStyle name="千分位 2" xfId="2" xr:uid="{00000000-0005-0000-0000-000003000000}"/>
    <cellStyle name="百分比 2" xfId="3" xr:uid="{00000000-0005-0000-0000-000004000000}"/>
  </cellStyles>
  <dxfs count="0"/>
  <tableStyles count="0" defaultTableStyle="TableStyleMedium2" defaultPivotStyle="PivotStyleLight16"/>
  <colors>
    <mruColors>
      <color rgb="FF005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1FB3-91AF-4809-9E6F-D332CDAB4016}">
  <sheetPr>
    <pageSetUpPr fitToPage="1"/>
  </sheetPr>
  <dimension ref="A1:O25"/>
  <sheetViews>
    <sheetView view="pageBreakPreview" zoomScale="60" zoomScaleNormal="70" workbookViewId="0">
      <pane xSplit="2" ySplit="2" topLeftCell="J3" activePane="bottomRight" state="frozen"/>
      <selection activeCell="CL4" sqref="CL4"/>
      <selection pane="topRight" activeCell="CL4" sqref="CL4"/>
      <selection pane="bottomLeft" activeCell="CL4" sqref="CL4"/>
      <selection pane="bottomRight" activeCell="S26" sqref="S26"/>
    </sheetView>
  </sheetViews>
  <sheetFormatPr defaultRowHeight="17" x14ac:dyDescent="0.4"/>
  <cols>
    <col min="1" max="1" width="39.26953125" customWidth="1"/>
    <col min="2" max="2" width="50.1796875" customWidth="1"/>
    <col min="3" max="9" width="0" hidden="1" customWidth="1"/>
    <col min="14" max="14" width="12.453125" customWidth="1"/>
    <col min="15" max="15" width="10.7265625" bestFit="1" customWidth="1"/>
    <col min="89" max="89" width="9.26953125" customWidth="1"/>
  </cols>
  <sheetData>
    <row r="1" spans="1:15" ht="5.25" customHeight="1" x14ac:dyDescent="0.4"/>
    <row r="2" spans="1:15" x14ac:dyDescent="0.3">
      <c r="A2" s="23" t="s">
        <v>111</v>
      </c>
      <c r="B2" s="24" t="s">
        <v>0</v>
      </c>
      <c r="C2" s="24">
        <v>2013</v>
      </c>
      <c r="D2" s="24">
        <v>2014</v>
      </c>
      <c r="E2" s="24">
        <v>2015</v>
      </c>
      <c r="F2" s="24">
        <v>2016</v>
      </c>
      <c r="G2" s="24">
        <v>2017</v>
      </c>
      <c r="H2" s="24">
        <v>2018</v>
      </c>
      <c r="I2" s="24">
        <v>2019</v>
      </c>
      <c r="J2" s="24">
        <v>2020</v>
      </c>
      <c r="K2" s="24">
        <v>2021</v>
      </c>
      <c r="L2" s="24">
        <v>2022</v>
      </c>
      <c r="M2" s="24">
        <v>2023</v>
      </c>
      <c r="N2" s="24">
        <v>2024</v>
      </c>
      <c r="O2" s="24">
        <v>2025</v>
      </c>
    </row>
    <row r="3" spans="1:15" x14ac:dyDescent="0.4">
      <c r="A3" s="7" t="s">
        <v>112</v>
      </c>
      <c r="B3" s="1" t="s">
        <v>1</v>
      </c>
      <c r="C3" s="38">
        <v>624009.07299999997</v>
      </c>
      <c r="D3" s="38">
        <v>592346.73400000005</v>
      </c>
      <c r="E3" s="38">
        <v>623273.98800000001</v>
      </c>
      <c r="F3" s="38">
        <v>659908.23100000003</v>
      </c>
      <c r="G3" s="38">
        <v>836081.02300000004</v>
      </c>
      <c r="H3" s="38">
        <v>889536.34699999995</v>
      </c>
      <c r="I3" s="38">
        <v>878255</v>
      </c>
      <c r="J3" s="38">
        <v>845012</v>
      </c>
      <c r="K3" s="38">
        <v>862083</v>
      </c>
      <c r="L3" s="38">
        <v>984619</v>
      </c>
      <c r="M3" s="38">
        <v>867057</v>
      </c>
      <c r="N3" s="38">
        <v>1049256</v>
      </c>
      <c r="O3" s="38">
        <v>2186523</v>
      </c>
    </row>
    <row r="4" spans="1:15" x14ac:dyDescent="0.4">
      <c r="A4" s="7" t="s">
        <v>113</v>
      </c>
      <c r="B4" s="1" t="s">
        <v>81</v>
      </c>
      <c r="C4" s="38">
        <v>30203.050999999999</v>
      </c>
      <c r="D4" s="38">
        <v>31116.774000000001</v>
      </c>
      <c r="E4" s="38">
        <v>29416.236000000001</v>
      </c>
      <c r="F4" s="38">
        <v>31644.517</v>
      </c>
      <c r="G4" s="38">
        <v>31639.402999999998</v>
      </c>
      <c r="H4" s="38">
        <v>37559.256000000001</v>
      </c>
      <c r="I4" s="38">
        <v>42158</v>
      </c>
      <c r="J4" s="38">
        <v>46053</v>
      </c>
      <c r="K4" s="38">
        <v>51135</v>
      </c>
      <c r="L4" s="38">
        <v>69729</v>
      </c>
      <c r="M4" s="38">
        <v>68983</v>
      </c>
      <c r="N4" s="38">
        <v>84091</v>
      </c>
      <c r="O4" s="38">
        <v>133983</v>
      </c>
    </row>
    <row r="5" spans="1:15" x14ac:dyDescent="0.4">
      <c r="A5" s="8" t="s">
        <v>114</v>
      </c>
      <c r="B5" s="1" t="s">
        <v>82</v>
      </c>
      <c r="C5" s="38">
        <v>-8956.2309999999998</v>
      </c>
      <c r="D5" s="38">
        <v>-11636.494000000001</v>
      </c>
      <c r="E5" s="33">
        <v>-10897.272999999999</v>
      </c>
      <c r="F5" s="33">
        <v>-8883.3649999999998</v>
      </c>
      <c r="G5" s="33">
        <v>-8181.473</v>
      </c>
      <c r="H5" s="33">
        <v>-9226.027</v>
      </c>
      <c r="I5" s="33">
        <v>-9243</v>
      </c>
      <c r="J5" s="33">
        <v>-8866</v>
      </c>
      <c r="K5" s="33">
        <v>-9467</v>
      </c>
      <c r="L5" s="33">
        <v>-11433</v>
      </c>
      <c r="M5" s="33">
        <v>-10828</v>
      </c>
      <c r="N5" s="33">
        <v>-12240</v>
      </c>
      <c r="O5" s="33">
        <v>-14229</v>
      </c>
    </row>
    <row r="6" spans="1:15" x14ac:dyDescent="0.4">
      <c r="A6" s="8" t="s">
        <v>115</v>
      </c>
      <c r="B6" s="1" t="s">
        <v>83</v>
      </c>
      <c r="C6" s="38">
        <v>-2193.6060000000002</v>
      </c>
      <c r="D6" s="38">
        <v>-2291.4180000000001</v>
      </c>
      <c r="E6" s="33">
        <v>-2746.3359999999998</v>
      </c>
      <c r="F6" s="33">
        <v>-2954.2049999999999</v>
      </c>
      <c r="G6" s="33">
        <v>-2843.0819999999999</v>
      </c>
      <c r="H6" s="33">
        <v>-3163.616</v>
      </c>
      <c r="I6" s="33">
        <v>-3417</v>
      </c>
      <c r="J6" s="33">
        <v>-3667</v>
      </c>
      <c r="K6" s="33">
        <v>-4531</v>
      </c>
      <c r="L6" s="33">
        <v>-5815</v>
      </c>
      <c r="M6" s="33">
        <v>-6870</v>
      </c>
      <c r="N6" s="33">
        <v>-6901</v>
      </c>
      <c r="O6" s="33">
        <v>-9830</v>
      </c>
    </row>
    <row r="7" spans="1:15" x14ac:dyDescent="0.4">
      <c r="A7" s="8" t="s">
        <v>116</v>
      </c>
      <c r="B7" s="1" t="s">
        <v>84</v>
      </c>
      <c r="C7" s="39">
        <v>-12967.288</v>
      </c>
      <c r="D7" s="38">
        <v>-13424.842000000001</v>
      </c>
      <c r="E7" s="33">
        <v>-13382.922</v>
      </c>
      <c r="F7" s="33">
        <v>-13794.877</v>
      </c>
      <c r="G7" s="33">
        <v>-14701.037</v>
      </c>
      <c r="H7" s="33">
        <v>-14403.597</v>
      </c>
      <c r="I7" s="33">
        <v>-16198</v>
      </c>
      <c r="J7" s="33">
        <v>-19049</v>
      </c>
      <c r="K7" s="33">
        <v>-20761</v>
      </c>
      <c r="L7" s="33">
        <v>-25008</v>
      </c>
      <c r="M7" s="33">
        <v>-23894</v>
      </c>
      <c r="N7" s="33">
        <v>-25971</v>
      </c>
      <c r="O7" s="33">
        <v>-31371</v>
      </c>
    </row>
    <row r="8" spans="1:15" ht="17.5" thickBot="1" x14ac:dyDescent="0.45">
      <c r="A8" s="7" t="s">
        <v>117</v>
      </c>
      <c r="B8" s="1" t="s">
        <v>6</v>
      </c>
      <c r="C8" s="38">
        <f>SUM(C5:C7)</f>
        <v>-24117.125</v>
      </c>
      <c r="D8" s="40">
        <f>SUM(D5:D7)</f>
        <v>-27352.754000000001</v>
      </c>
      <c r="E8" s="40">
        <f>SUM(E5:E7)</f>
        <v>-27026.530999999999</v>
      </c>
      <c r="F8" s="40">
        <f>SUM(F5:F7)</f>
        <v>-25632.447</v>
      </c>
      <c r="G8" s="40">
        <f>SUM(G5:G7)</f>
        <v>-25725.592000000001</v>
      </c>
      <c r="H8" s="40">
        <f t="shared" ref="H8:J8" si="0">SUM(H5:H7)</f>
        <v>-26793.239999999998</v>
      </c>
      <c r="I8" s="40">
        <f t="shared" si="0"/>
        <v>-28858</v>
      </c>
      <c r="J8" s="40">
        <f t="shared" si="0"/>
        <v>-31582</v>
      </c>
      <c r="K8" s="40">
        <f>SUM(K5:K7)-1</f>
        <v>-34760</v>
      </c>
      <c r="L8" s="40">
        <f>SUM(L5:L7)-1</f>
        <v>-42257</v>
      </c>
      <c r="M8" s="40">
        <f>SUM(M5:M7)-1</f>
        <v>-41593</v>
      </c>
      <c r="N8" s="40">
        <v>-45112</v>
      </c>
      <c r="O8" s="40">
        <v>-55430</v>
      </c>
    </row>
    <row r="9" spans="1:15" ht="17.5" thickBot="1" x14ac:dyDescent="0.35">
      <c r="A9" s="11" t="s">
        <v>118</v>
      </c>
      <c r="B9" s="26" t="s">
        <v>107</v>
      </c>
      <c r="C9" s="41">
        <f>C4+C8</f>
        <v>6085.9259999999995</v>
      </c>
      <c r="D9" s="41">
        <f>D4+D8</f>
        <v>3764.0200000000004</v>
      </c>
      <c r="E9" s="41">
        <f>E4+E8</f>
        <v>2389.7050000000017</v>
      </c>
      <c r="F9" s="41">
        <f>F4+F8</f>
        <v>6012.07</v>
      </c>
      <c r="G9" s="41">
        <f>G4+G8</f>
        <v>5913.8109999999979</v>
      </c>
      <c r="H9" s="41">
        <f t="shared" ref="H9:K9" si="1">H4+H8</f>
        <v>10766.016000000003</v>
      </c>
      <c r="I9" s="41">
        <f t="shared" si="1"/>
        <v>13300</v>
      </c>
      <c r="J9" s="41">
        <f t="shared" si="1"/>
        <v>14471</v>
      </c>
      <c r="K9" s="41">
        <f t="shared" si="1"/>
        <v>16375</v>
      </c>
      <c r="L9" s="41">
        <v>27472</v>
      </c>
      <c r="M9" s="41">
        <v>27930</v>
      </c>
      <c r="N9" s="41">
        <v>38979</v>
      </c>
      <c r="O9" s="41">
        <v>78553</v>
      </c>
    </row>
    <row r="10" spans="1:15" ht="3.75" customHeight="1" x14ac:dyDescent="0.4">
      <c r="A10" s="6"/>
      <c r="B10" s="1"/>
    </row>
    <row r="11" spans="1:15" x14ac:dyDescent="0.4">
      <c r="A11" s="7" t="s">
        <v>119</v>
      </c>
      <c r="B11" s="1" t="s">
        <v>7</v>
      </c>
    </row>
    <row r="12" spans="1:15" ht="3.75" customHeight="1" x14ac:dyDescent="0.4">
      <c r="A12" s="8"/>
      <c r="B12" s="1"/>
    </row>
    <row r="13" spans="1:15" x14ac:dyDescent="0.4">
      <c r="A13" s="7" t="s">
        <v>120</v>
      </c>
      <c r="B13" s="1" t="s">
        <v>8</v>
      </c>
      <c r="C13" s="38">
        <f>1355.838-1451.847-565.85</f>
        <v>-661.85900000000004</v>
      </c>
      <c r="D13" s="38">
        <f>2951.969-2398.574</f>
        <v>553.39499999999998</v>
      </c>
      <c r="E13" s="33">
        <f>1609.279-1862.359</f>
        <v>-253.07999999999993</v>
      </c>
      <c r="F13" s="33">
        <f>933.695-1981.651</f>
        <v>-1047.9560000000001</v>
      </c>
      <c r="G13" s="33">
        <f>1078.725-2756.041</f>
        <v>-1677.3160000000003</v>
      </c>
      <c r="H13" s="33">
        <f>1071.586-4747.543</f>
        <v>-3675.9569999999994</v>
      </c>
      <c r="I13" s="33">
        <v>-2757</v>
      </c>
      <c r="J13" s="33">
        <v>-460</v>
      </c>
      <c r="K13" s="33">
        <v>-573</v>
      </c>
      <c r="L13" s="33">
        <f>-5988+1990</f>
        <v>-3998</v>
      </c>
      <c r="M13" s="33">
        <v>-6237</v>
      </c>
      <c r="N13" s="33">
        <v>-4794</v>
      </c>
      <c r="O13" s="33">
        <v>-12779</v>
      </c>
    </row>
    <row r="14" spans="1:15" x14ac:dyDescent="0.4">
      <c r="A14" s="7" t="s">
        <v>121</v>
      </c>
      <c r="B14" s="1" t="s">
        <v>9</v>
      </c>
      <c r="C14" s="38">
        <v>412.6</v>
      </c>
      <c r="D14" s="38">
        <v>-16.812999999999999</v>
      </c>
      <c r="E14" s="33">
        <v>200.797</v>
      </c>
      <c r="F14" s="33">
        <v>-70.42</v>
      </c>
      <c r="G14" s="33">
        <v>307.85399999999998</v>
      </c>
      <c r="H14" s="33">
        <v>409.226</v>
      </c>
      <c r="I14" s="33">
        <v>339</v>
      </c>
      <c r="J14" s="33">
        <v>447</v>
      </c>
      <c r="K14" s="33">
        <v>117</v>
      </c>
      <c r="L14" s="33">
        <v>776</v>
      </c>
      <c r="M14" s="33">
        <v>764</v>
      </c>
      <c r="N14" s="33">
        <v>433</v>
      </c>
      <c r="O14" s="33">
        <v>625</v>
      </c>
    </row>
    <row r="15" spans="1:15" x14ac:dyDescent="0.4">
      <c r="A15" s="7" t="s">
        <v>122</v>
      </c>
      <c r="B15" s="1" t="s">
        <v>108</v>
      </c>
      <c r="C15" s="38">
        <f>986.516+425.068</f>
        <v>1411.5839999999998</v>
      </c>
      <c r="D15" s="38">
        <f>313.167-74.319</f>
        <v>238.84799999999996</v>
      </c>
      <c r="E15" s="33">
        <f>672.057+947.135</f>
        <v>1619.192</v>
      </c>
      <c r="F15" s="33">
        <f>287.721-557.97</f>
        <v>-270.24900000000002</v>
      </c>
      <c r="G15" s="33">
        <f>2746.378-1884.238</f>
        <v>862.1400000000001</v>
      </c>
      <c r="H15" s="33">
        <f>1817.144-431.584</f>
        <v>1385.56</v>
      </c>
      <c r="I15" s="33">
        <v>761</v>
      </c>
      <c r="J15" s="33">
        <v>1230</v>
      </c>
      <c r="K15" s="33">
        <v>1350</v>
      </c>
      <c r="L15" s="33">
        <v>3664</v>
      </c>
      <c r="M15" s="33">
        <v>1477</v>
      </c>
      <c r="N15" s="33">
        <v>4050</v>
      </c>
      <c r="O15" s="33">
        <v>9377</v>
      </c>
    </row>
    <row r="16" spans="1:15" x14ac:dyDescent="0.4">
      <c r="B16" s="1" t="s">
        <v>61</v>
      </c>
    </row>
    <row r="17" spans="1:15" x14ac:dyDescent="0.4">
      <c r="A17" s="7" t="s">
        <v>14</v>
      </c>
      <c r="B17" s="1" t="s">
        <v>10</v>
      </c>
      <c r="C17" s="33">
        <v>667</v>
      </c>
      <c r="D17" s="33">
        <v>303</v>
      </c>
      <c r="E17" s="33">
        <f>132.89+74.298+8.149-846.672-426.594-174.272-354.001-0.047</f>
        <v>-1586.249</v>
      </c>
      <c r="F17" s="33">
        <f>108.65+124.655-9.317-383.549+72.753-40.611-377.11+638.184</f>
        <v>133.65499999999997</v>
      </c>
      <c r="G17" s="33">
        <f>137.054+98.366+351.953-80.668-14.049-54.876+314.142</f>
        <v>751.92200000000003</v>
      </c>
      <c r="H17" s="33">
        <f>149.758+121.513+106.37-13.819+94.394+315.777</f>
        <v>773.99299999999994</v>
      </c>
      <c r="I17" s="33">
        <v>1133</v>
      </c>
      <c r="J17" s="33">
        <f>2374-SUM(J13:J15)</f>
        <v>1157</v>
      </c>
      <c r="K17" s="33">
        <v>1965</v>
      </c>
      <c r="L17" s="33">
        <v>-3203</v>
      </c>
      <c r="M17" s="33">
        <v>927</v>
      </c>
      <c r="N17" s="33">
        <v>1307</v>
      </c>
      <c r="O17" s="33">
        <v>501</v>
      </c>
    </row>
    <row r="18" spans="1:15" ht="10.25" customHeight="1" x14ac:dyDescent="0.4">
      <c r="A18" s="6"/>
      <c r="B18" s="1"/>
    </row>
    <row r="19" spans="1:15" x14ac:dyDescent="0.3">
      <c r="A19" s="10" t="s">
        <v>123</v>
      </c>
      <c r="B19" s="1" t="s">
        <v>109</v>
      </c>
      <c r="C19" s="33">
        <f>C9+SUM(C13:C17)</f>
        <v>7915.2509999999993</v>
      </c>
      <c r="D19" s="33">
        <f>D9+SUM(D13:D17)</f>
        <v>4842.4500000000007</v>
      </c>
      <c r="E19" s="33">
        <f>E9+SUM(E13:E17)</f>
        <v>2370.3650000000016</v>
      </c>
      <c r="F19" s="33">
        <f>F9+SUM(F13:F17)</f>
        <v>4757.0999999999995</v>
      </c>
      <c r="G19" s="33">
        <f t="shared" ref="G19" si="2">G9+SUM(G13:G17)</f>
        <v>6158.4109999999982</v>
      </c>
      <c r="H19" s="33">
        <f>H9+SUM(H13:H17)</f>
        <v>9658.8380000000034</v>
      </c>
      <c r="I19" s="33">
        <f>I9+SUM(I13:I17)</f>
        <v>12776</v>
      </c>
      <c r="J19" s="33">
        <f>J9+SUM(J13:J17)</f>
        <v>16845</v>
      </c>
      <c r="K19" s="33">
        <f>K9+SUM(K13:K17)</f>
        <v>19234</v>
      </c>
      <c r="L19" s="33">
        <v>24711</v>
      </c>
      <c r="M19" s="33">
        <v>24321</v>
      </c>
      <c r="N19" s="33">
        <v>39975</v>
      </c>
      <c r="O19" s="33">
        <v>76257</v>
      </c>
    </row>
    <row r="20" spans="1:15" x14ac:dyDescent="0.4">
      <c r="A20" s="7" t="s">
        <v>124</v>
      </c>
      <c r="B20" s="1" t="s">
        <v>11</v>
      </c>
      <c r="C20" s="38">
        <v>-2160.4589999999998</v>
      </c>
      <c r="D20" s="38">
        <v>-1253.4090000000001</v>
      </c>
      <c r="E20" s="33">
        <v>-1099</v>
      </c>
      <c r="F20" s="33">
        <v>-1764.096</v>
      </c>
      <c r="G20" s="33">
        <v>-1796.92</v>
      </c>
      <c r="H20" s="33">
        <v>-2373.6489999999999</v>
      </c>
      <c r="I20" s="33">
        <v>-3050</v>
      </c>
      <c r="J20" s="33">
        <v>-3937</v>
      </c>
      <c r="K20" s="33">
        <v>-4506</v>
      </c>
      <c r="L20" s="33">
        <v>-5693</v>
      </c>
      <c r="M20" s="33">
        <v>-6055</v>
      </c>
      <c r="N20" s="33">
        <v>-9339</v>
      </c>
      <c r="O20" s="33">
        <v>-18485</v>
      </c>
    </row>
    <row r="21" spans="1:15" x14ac:dyDescent="0.4">
      <c r="A21" s="7" t="s">
        <v>125</v>
      </c>
      <c r="B21" s="1" t="s">
        <v>12</v>
      </c>
      <c r="C21" s="38">
        <v>-3.387</v>
      </c>
      <c r="D21" s="42">
        <v>-10.455</v>
      </c>
      <c r="E21" s="33">
        <v>63</v>
      </c>
      <c r="F21" s="33">
        <v>-31.902999999999999</v>
      </c>
      <c r="G21" s="33">
        <v>-475.97500000000002</v>
      </c>
      <c r="H21" s="33">
        <v>-2376.7170000000001</v>
      </c>
      <c r="I21" s="33">
        <v>-2925</v>
      </c>
      <c r="J21" s="33">
        <v>-4226</v>
      </c>
      <c r="K21" s="33">
        <v>-4260</v>
      </c>
      <c r="L21" s="33">
        <v>-7855</v>
      </c>
      <c r="M21" s="33">
        <v>-6794</v>
      </c>
      <c r="N21" s="33">
        <v>-13191</v>
      </c>
      <c r="O21" s="33">
        <v>-30364</v>
      </c>
    </row>
    <row r="22" spans="1:15" ht="17.5" thickBot="1" x14ac:dyDescent="0.35">
      <c r="A22" s="10" t="s">
        <v>126</v>
      </c>
      <c r="B22" s="1" t="s">
        <v>110</v>
      </c>
      <c r="C22" s="4">
        <f>C19+C20+C21</f>
        <v>5751.4049999999997</v>
      </c>
      <c r="D22" s="4">
        <f>D19+D20+D21</f>
        <v>3578.5860000000007</v>
      </c>
      <c r="E22" s="4">
        <f>E19+E20+E21</f>
        <v>1334.3650000000016</v>
      </c>
      <c r="F22" s="4">
        <f>F19+F20+F21</f>
        <v>2961.1009999999997</v>
      </c>
      <c r="G22" s="4">
        <f t="shared" ref="G22:K22" si="3">G19+G20+G21</f>
        <v>3885.5159999999983</v>
      </c>
      <c r="H22" s="4">
        <f t="shared" si="3"/>
        <v>4908.4720000000034</v>
      </c>
      <c r="I22" s="4">
        <f t="shared" si="3"/>
        <v>6801</v>
      </c>
      <c r="J22" s="4">
        <f t="shared" si="3"/>
        <v>8682</v>
      </c>
      <c r="K22" s="4">
        <f t="shared" si="3"/>
        <v>10468</v>
      </c>
      <c r="L22" s="4">
        <f>L19+L20+L21-1</f>
        <v>11162</v>
      </c>
      <c r="M22" s="4">
        <f>M19+M20+M21</f>
        <v>11472</v>
      </c>
      <c r="N22" s="4">
        <v>17446</v>
      </c>
      <c r="O22" s="4">
        <v>27408</v>
      </c>
    </row>
    <row r="23" spans="1:15" ht="17.5" thickBot="1" x14ac:dyDescent="0.35">
      <c r="A23" s="11" t="s">
        <v>127</v>
      </c>
      <c r="B23" s="26" t="s">
        <v>13</v>
      </c>
      <c r="C23" s="43">
        <v>2.5099999999999998</v>
      </c>
      <c r="D23" s="43">
        <v>1.5</v>
      </c>
      <c r="E23" s="43">
        <v>0.55000000000000004</v>
      </c>
      <c r="F23" s="43">
        <v>1.2</v>
      </c>
      <c r="G23" s="43">
        <v>1.48</v>
      </c>
      <c r="H23" s="43">
        <v>1.76</v>
      </c>
      <c r="I23" s="43">
        <v>2.4</v>
      </c>
      <c r="J23" s="43">
        <v>3.1</v>
      </c>
      <c r="K23" s="43">
        <v>3.76</v>
      </c>
      <c r="L23" s="43">
        <v>4.01</v>
      </c>
      <c r="M23" s="43">
        <v>4.08</v>
      </c>
      <c r="N23" s="43">
        <v>6.11</v>
      </c>
      <c r="O23" s="43">
        <v>9.0399999999999991</v>
      </c>
    </row>
    <row r="25" spans="1:15" ht="16.5" customHeight="1" x14ac:dyDescent="0.4">
      <c r="B25" s="37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C8:M8" formulaRange="1"/>
    <ignoredError sqref="L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5"/>
  <sheetViews>
    <sheetView showGridLines="0" view="pageBreakPreview" zoomScale="60" zoomScaleNormal="85" workbookViewId="0">
      <pane xSplit="2" ySplit="2" topLeftCell="AH3" activePane="bottomRight" state="frozen"/>
      <selection activeCell="CL4" sqref="CL4"/>
      <selection pane="topRight" activeCell="CL4" sqref="CL4"/>
      <selection pane="bottomLeft" activeCell="CL4" sqref="CL4"/>
      <selection pane="bottomRight" activeCell="BE10" sqref="BE10"/>
    </sheetView>
  </sheetViews>
  <sheetFormatPr defaultRowHeight="17" x14ac:dyDescent="0.4"/>
  <cols>
    <col min="1" max="1" width="33.1796875" customWidth="1"/>
    <col min="2" max="2" width="47" customWidth="1"/>
    <col min="3" max="15" width="9" hidden="1" customWidth="1"/>
    <col min="16" max="33" width="9.26953125" hidden="1" customWidth="1"/>
    <col min="34" max="34" width="9.26953125" customWidth="1"/>
    <col min="35" max="37" width="9.26953125" hidden="1" customWidth="1"/>
    <col min="39" max="41" width="0" hidden="1" customWidth="1"/>
    <col min="43" max="45" width="0" hidden="1" customWidth="1"/>
  </cols>
  <sheetData>
    <row r="1" spans="1:55" ht="5.25" customHeight="1" x14ac:dyDescent="0.4"/>
    <row r="2" spans="1:55" ht="17.5" thickBot="1" x14ac:dyDescent="0.35">
      <c r="A2" s="23" t="s">
        <v>111</v>
      </c>
      <c r="B2" s="24" t="s">
        <v>0</v>
      </c>
      <c r="C2" s="24" t="s">
        <v>35</v>
      </c>
      <c r="D2" s="24" t="s">
        <v>36</v>
      </c>
      <c r="E2" s="24" t="s">
        <v>37</v>
      </c>
      <c r="F2" s="24" t="s">
        <v>38</v>
      </c>
      <c r="G2" s="24" t="s">
        <v>39</v>
      </c>
      <c r="H2" s="24" t="s">
        <v>40</v>
      </c>
      <c r="I2" s="24" t="s">
        <v>41</v>
      </c>
      <c r="J2" s="24" t="s">
        <v>42</v>
      </c>
      <c r="K2" s="24" t="s">
        <v>43</v>
      </c>
      <c r="L2" s="24" t="s">
        <v>44</v>
      </c>
      <c r="M2" s="24" t="s">
        <v>45</v>
      </c>
      <c r="N2" s="24" t="s">
        <v>46</v>
      </c>
      <c r="O2" s="24" t="s">
        <v>47</v>
      </c>
      <c r="P2" s="24" t="s">
        <v>62</v>
      </c>
      <c r="Q2" s="24" t="s">
        <v>63</v>
      </c>
      <c r="R2" s="24" t="s">
        <v>64</v>
      </c>
      <c r="S2" s="24" t="s">
        <v>65</v>
      </c>
      <c r="T2" s="24" t="s">
        <v>66</v>
      </c>
      <c r="U2" s="24" t="s">
        <v>67</v>
      </c>
      <c r="V2" s="24" t="s">
        <v>75</v>
      </c>
      <c r="W2" s="24" t="s">
        <v>76</v>
      </c>
      <c r="X2" s="24" t="s">
        <v>78</v>
      </c>
      <c r="Y2" s="24" t="s">
        <v>85</v>
      </c>
      <c r="Z2" s="24" t="s">
        <v>99</v>
      </c>
      <c r="AA2" s="24" t="s">
        <v>86</v>
      </c>
      <c r="AB2" s="24" t="s">
        <v>87</v>
      </c>
      <c r="AC2" s="24" t="s">
        <v>88</v>
      </c>
      <c r="AD2" s="24" t="s">
        <v>89</v>
      </c>
      <c r="AE2" s="24" t="s">
        <v>90</v>
      </c>
      <c r="AF2" s="24" t="s">
        <v>91</v>
      </c>
      <c r="AG2" s="24" t="s">
        <v>92</v>
      </c>
      <c r="AH2" s="24" t="s">
        <v>93</v>
      </c>
      <c r="AI2" s="24" t="s">
        <v>94</v>
      </c>
      <c r="AJ2" s="24" t="s">
        <v>95</v>
      </c>
      <c r="AK2" s="24" t="s">
        <v>96</v>
      </c>
      <c r="AL2" s="24" t="s">
        <v>97</v>
      </c>
      <c r="AM2" s="24" t="s">
        <v>98</v>
      </c>
      <c r="AN2" s="24" t="s">
        <v>100</v>
      </c>
      <c r="AO2" s="24" t="s">
        <v>101</v>
      </c>
      <c r="AP2" s="24" t="s">
        <v>102</v>
      </c>
      <c r="AQ2" s="24" t="s">
        <v>103</v>
      </c>
      <c r="AR2" s="24" t="s">
        <v>104</v>
      </c>
      <c r="AS2" s="24" t="s">
        <v>105</v>
      </c>
      <c r="AT2" s="24" t="s">
        <v>106</v>
      </c>
      <c r="AU2" s="24" t="s">
        <v>147</v>
      </c>
      <c r="AV2" s="24" t="s">
        <v>148</v>
      </c>
      <c r="AW2" s="24" t="s">
        <v>149</v>
      </c>
      <c r="AX2" s="24" t="s">
        <v>150</v>
      </c>
      <c r="AY2" s="24" t="s">
        <v>151</v>
      </c>
      <c r="AZ2" s="24" t="s">
        <v>152</v>
      </c>
      <c r="BA2" s="24" t="s">
        <v>153</v>
      </c>
      <c r="BB2" s="24" t="s">
        <v>154</v>
      </c>
      <c r="BC2" s="24" t="s">
        <v>155</v>
      </c>
    </row>
    <row r="3" spans="1:55" ht="17.5" thickTop="1" x14ac:dyDescent="0.4">
      <c r="A3" s="7" t="s">
        <v>112</v>
      </c>
      <c r="B3" s="1" t="s">
        <v>1</v>
      </c>
      <c r="C3" s="25">
        <v>158195.66099999999</v>
      </c>
      <c r="D3" s="25">
        <v>162950.45199999999</v>
      </c>
      <c r="E3" s="25">
        <v>159887.70199999999</v>
      </c>
      <c r="F3" s="25">
        <v>142975.25799999997</v>
      </c>
      <c r="G3" s="25">
        <v>125818.268</v>
      </c>
      <c r="H3" s="25">
        <v>135884.93</v>
      </c>
      <c r="I3" s="25">
        <v>155753.80499999999</v>
      </c>
      <c r="J3" s="25">
        <v>174890</v>
      </c>
      <c r="K3" s="25">
        <v>150704.704</v>
      </c>
      <c r="L3" s="25">
        <v>146073.36799999999</v>
      </c>
      <c r="M3" s="25">
        <v>152416.106</v>
      </c>
      <c r="N3" s="25">
        <v>174080</v>
      </c>
      <c r="O3" s="25">
        <v>134695.622</v>
      </c>
      <c r="P3" s="25">
        <v>146627.13699999999</v>
      </c>
      <c r="Q3" s="25">
        <v>168538.22099999999</v>
      </c>
      <c r="R3" s="25">
        <v>210047</v>
      </c>
      <c r="S3" s="25">
        <v>168408.11199999999</v>
      </c>
      <c r="T3" s="25">
        <v>193838.18400000001</v>
      </c>
      <c r="U3" s="25">
        <v>212232.03899999999</v>
      </c>
      <c r="V3" s="25">
        <v>261603</v>
      </c>
      <c r="W3" s="25">
        <v>217052.92499999999</v>
      </c>
      <c r="X3" s="25">
        <v>189347.758</v>
      </c>
      <c r="Y3" s="25">
        <v>227646.55</v>
      </c>
      <c r="Z3" s="25">
        <v>255489</v>
      </c>
      <c r="AA3" s="25">
        <v>206205</v>
      </c>
      <c r="AB3" s="33">
        <v>205549</v>
      </c>
      <c r="AC3" s="33">
        <v>216290</v>
      </c>
      <c r="AD3" s="33">
        <v>250212</v>
      </c>
      <c r="AE3" s="33">
        <v>173771</v>
      </c>
      <c r="AF3" s="33">
        <v>221107</v>
      </c>
      <c r="AG3" s="33">
        <v>217594</v>
      </c>
      <c r="AH3" s="33">
        <v>232539</v>
      </c>
      <c r="AI3" s="33">
        <v>177359</v>
      </c>
      <c r="AJ3" s="33">
        <v>200879</v>
      </c>
      <c r="AK3" s="33">
        <v>220392</v>
      </c>
      <c r="AL3" s="33">
        <v>263453</v>
      </c>
      <c r="AM3" s="33">
        <v>226446</v>
      </c>
      <c r="AN3" s="33">
        <v>244216</v>
      </c>
      <c r="AO3" s="33">
        <v>250103</v>
      </c>
      <c r="AP3" s="33">
        <v>263854</v>
      </c>
      <c r="AQ3" s="33">
        <v>212000</v>
      </c>
      <c r="AR3" s="4">
        <v>207477</v>
      </c>
      <c r="AS3" s="4">
        <v>217040</v>
      </c>
      <c r="AT3" s="33">
        <v>230540</v>
      </c>
      <c r="AU3" s="33">
        <v>239325</v>
      </c>
      <c r="AV3" s="33">
        <v>240207</v>
      </c>
      <c r="AW3" s="33">
        <v>272542</v>
      </c>
      <c r="AX3" s="33">
        <v>297182</v>
      </c>
      <c r="AY3" s="33">
        <v>346485</v>
      </c>
      <c r="AZ3" s="33">
        <v>551291</v>
      </c>
      <c r="BA3" s="33">
        <v>567805</v>
      </c>
      <c r="BB3" s="33">
        <v>720941</v>
      </c>
      <c r="BC3" s="33">
        <v>846303</v>
      </c>
    </row>
    <row r="4" spans="1:55" x14ac:dyDescent="0.4">
      <c r="A4" s="7" t="s">
        <v>113</v>
      </c>
      <c r="B4" s="1" t="s">
        <v>2</v>
      </c>
      <c r="C4" s="4">
        <v>8057.4110000000001</v>
      </c>
      <c r="D4" s="4">
        <v>6756.1189999999997</v>
      </c>
      <c r="E4" s="4">
        <v>8080.4489999999996</v>
      </c>
      <c r="F4" s="4">
        <v>7309.0720000000001</v>
      </c>
      <c r="G4" s="4">
        <v>6549.9960000000001</v>
      </c>
      <c r="H4" s="4">
        <v>8539.259</v>
      </c>
      <c r="I4" s="4">
        <v>8177.9049999999997</v>
      </c>
      <c r="J4" s="4">
        <v>7850</v>
      </c>
      <c r="K4" s="4">
        <v>7030.0410000000002</v>
      </c>
      <c r="L4" s="4">
        <v>6839.4780000000001</v>
      </c>
      <c r="M4" s="4">
        <v>7793.3</v>
      </c>
      <c r="N4" s="4">
        <v>7753</v>
      </c>
      <c r="O4" s="4">
        <v>7665.625</v>
      </c>
      <c r="P4" s="4">
        <v>7299.5789999999997</v>
      </c>
      <c r="Q4" s="4">
        <v>7668.1859999999997</v>
      </c>
      <c r="R4" s="4">
        <v>9012</v>
      </c>
      <c r="S4" s="4">
        <v>6363.808</v>
      </c>
      <c r="T4" s="4">
        <v>7584.0150000000003</v>
      </c>
      <c r="U4" s="4">
        <v>8342.1029999999992</v>
      </c>
      <c r="V4" s="4">
        <v>9349</v>
      </c>
      <c r="W4" s="4">
        <v>8049.2979999999998</v>
      </c>
      <c r="X4" s="4">
        <v>8878.3340000000007</v>
      </c>
      <c r="Y4" s="4">
        <v>9353.0679999999993</v>
      </c>
      <c r="Z4" s="4">
        <v>11278</v>
      </c>
      <c r="AA4" s="4">
        <v>8398</v>
      </c>
      <c r="AB4" s="33">
        <v>10228</v>
      </c>
      <c r="AC4" s="33">
        <v>10824</v>
      </c>
      <c r="AD4" s="33">
        <v>12708</v>
      </c>
      <c r="AE4" s="33">
        <v>8591</v>
      </c>
      <c r="AF4" s="33">
        <v>12656</v>
      </c>
      <c r="AG4" s="33">
        <v>11695</v>
      </c>
      <c r="AH4" s="33">
        <v>13110</v>
      </c>
      <c r="AI4" s="33">
        <v>10550</v>
      </c>
      <c r="AJ4" s="33">
        <v>12112</v>
      </c>
      <c r="AK4" s="33">
        <v>12993</v>
      </c>
      <c r="AL4" s="33">
        <v>15480</v>
      </c>
      <c r="AM4" s="33">
        <v>12796</v>
      </c>
      <c r="AN4" s="33">
        <v>16381</v>
      </c>
      <c r="AO4" s="33">
        <v>17874</v>
      </c>
      <c r="AP4" s="33">
        <v>22678</v>
      </c>
      <c r="AQ4" s="33">
        <v>14852</v>
      </c>
      <c r="AR4" s="33">
        <v>15677</v>
      </c>
      <c r="AS4" s="33">
        <v>17042</v>
      </c>
      <c r="AT4" s="33">
        <v>21412</v>
      </c>
      <c r="AU4" s="33">
        <v>17230</v>
      </c>
      <c r="AV4" s="33">
        <v>20083</v>
      </c>
      <c r="AW4" s="33">
        <v>22745</v>
      </c>
      <c r="AX4" s="33">
        <v>24034</v>
      </c>
      <c r="AY4" s="33">
        <v>27056</v>
      </c>
      <c r="AZ4" s="33">
        <v>24453</v>
      </c>
      <c r="BA4" s="33">
        <v>41965</v>
      </c>
      <c r="BB4" s="33">
        <v>40509</v>
      </c>
      <c r="BC4" s="33">
        <v>44094</v>
      </c>
    </row>
    <row r="5" spans="1:55" x14ac:dyDescent="0.4">
      <c r="A5" s="8" t="s">
        <v>114</v>
      </c>
      <c r="B5" s="1" t="s">
        <v>3</v>
      </c>
      <c r="C5" s="4">
        <v>-2696.1120000000001</v>
      </c>
      <c r="D5" s="4">
        <v>-1457.992</v>
      </c>
      <c r="E5" s="4">
        <v>-2358.0709999999999</v>
      </c>
      <c r="F5" s="4">
        <v>-2444.0559999999996</v>
      </c>
      <c r="G5" s="4">
        <v>-2658.83</v>
      </c>
      <c r="H5" s="4">
        <v>-3023.69</v>
      </c>
      <c r="I5" s="4">
        <v>-2761.4839999999999</v>
      </c>
      <c r="J5" s="4">
        <v>-3192</v>
      </c>
      <c r="K5" s="4">
        <v>-2591.09</v>
      </c>
      <c r="L5" s="4">
        <v>-2720.931</v>
      </c>
      <c r="M5" s="4">
        <v>-2869.2750000000001</v>
      </c>
      <c r="N5" s="4">
        <v>-2716</v>
      </c>
      <c r="O5" s="4">
        <v>-2143.2260000000001</v>
      </c>
      <c r="P5" s="4">
        <v>-2150.4830000000002</v>
      </c>
      <c r="Q5" s="4">
        <v>-2307.5230000000001</v>
      </c>
      <c r="R5" s="4">
        <v>-2282</v>
      </c>
      <c r="S5" s="4">
        <v>-1897.5989999999999</v>
      </c>
      <c r="T5" s="4">
        <v>-1909.681</v>
      </c>
      <c r="U5" s="4">
        <v>-2017.2339999999999</v>
      </c>
      <c r="V5" s="4">
        <v>-2356</v>
      </c>
      <c r="W5" s="4">
        <v>-2195.8009999999999</v>
      </c>
      <c r="X5" s="4">
        <v>-2276.2669999999998</v>
      </c>
      <c r="Y5" s="4">
        <v>-2391.8980000000001</v>
      </c>
      <c r="Z5" s="4">
        <v>-2362</v>
      </c>
      <c r="AA5" s="4">
        <v>-2161</v>
      </c>
      <c r="AB5" s="33">
        <v>-2159</v>
      </c>
      <c r="AC5" s="33">
        <v>-2489</v>
      </c>
      <c r="AD5" s="33">
        <v>-2434</v>
      </c>
      <c r="AE5" s="33">
        <v>-1943</v>
      </c>
      <c r="AF5" s="33">
        <v>-2382</v>
      </c>
      <c r="AG5" s="33">
        <v>-2123</v>
      </c>
      <c r="AH5" s="33">
        <v>-2417</v>
      </c>
      <c r="AI5" s="33">
        <v>-2107</v>
      </c>
      <c r="AJ5" s="33">
        <v>-2286</v>
      </c>
      <c r="AK5" s="33">
        <v>-2414</v>
      </c>
      <c r="AL5" s="33">
        <v>-2660</v>
      </c>
      <c r="AM5" s="33">
        <v>-2557</v>
      </c>
      <c r="AN5" s="33">
        <v>-2825</v>
      </c>
      <c r="AO5" s="33">
        <v>-2973</v>
      </c>
      <c r="AP5" s="33">
        <v>-3078</v>
      </c>
      <c r="AQ5" s="33">
        <v>-2689</v>
      </c>
      <c r="AR5" s="33">
        <v>-2665</v>
      </c>
      <c r="AS5" s="33">
        <v>-2749</v>
      </c>
      <c r="AT5" s="33">
        <v>-2725</v>
      </c>
      <c r="AU5" s="33">
        <v>-2754</v>
      </c>
      <c r="AV5" s="33">
        <v>-2944</v>
      </c>
      <c r="AW5" s="33">
        <v>-3283</v>
      </c>
      <c r="AX5" s="33">
        <v>-3259</v>
      </c>
      <c r="AY5" s="33">
        <v>-3360</v>
      </c>
      <c r="AZ5" s="33">
        <v>-3692</v>
      </c>
      <c r="BA5" s="33">
        <v>-3493</v>
      </c>
      <c r="BB5" s="33">
        <v>-3684</v>
      </c>
      <c r="BC5" s="33">
        <v>-4307</v>
      </c>
    </row>
    <row r="6" spans="1:55" x14ac:dyDescent="0.4">
      <c r="A6" s="8" t="s">
        <v>115</v>
      </c>
      <c r="B6" s="1" t="s">
        <v>4</v>
      </c>
      <c r="C6" s="4">
        <v>-479.40100000000001</v>
      </c>
      <c r="D6" s="4">
        <v>-518.96199999999999</v>
      </c>
      <c r="E6" s="4">
        <v>-593.16600000000005</v>
      </c>
      <c r="F6" s="4">
        <v>-602.07700000000023</v>
      </c>
      <c r="G6" s="4">
        <v>-545.25599999999997</v>
      </c>
      <c r="H6" s="4">
        <v>-585.42499999999995</v>
      </c>
      <c r="I6" s="4">
        <v>-611.71</v>
      </c>
      <c r="J6" s="4">
        <v>-549</v>
      </c>
      <c r="K6" s="4">
        <v>-574.05799999999999</v>
      </c>
      <c r="L6" s="4">
        <v>-644.11400000000003</v>
      </c>
      <c r="M6" s="4">
        <v>-701.88300000000004</v>
      </c>
      <c r="N6" s="4">
        <v>-826</v>
      </c>
      <c r="O6" s="4">
        <v>-738.25</v>
      </c>
      <c r="P6" s="4">
        <v>-765.27200000000005</v>
      </c>
      <c r="Q6" s="4">
        <v>-680.41399999999999</v>
      </c>
      <c r="R6" s="4">
        <v>-770</v>
      </c>
      <c r="S6" s="4">
        <v>-617.87099999999998</v>
      </c>
      <c r="T6" s="4">
        <v>-675.63800000000003</v>
      </c>
      <c r="U6" s="4">
        <v>-815.60199999999998</v>
      </c>
      <c r="V6" s="4">
        <v>-734</v>
      </c>
      <c r="W6" s="4">
        <v>-661.29</v>
      </c>
      <c r="X6" s="4">
        <v>-920.98199999999997</v>
      </c>
      <c r="Y6" s="4">
        <v>-790.87900000000002</v>
      </c>
      <c r="Z6" s="4">
        <v>-791</v>
      </c>
      <c r="AA6" s="4">
        <v>-713</v>
      </c>
      <c r="AB6" s="33">
        <v>-902</v>
      </c>
      <c r="AC6" s="33">
        <v>-841</v>
      </c>
      <c r="AD6" s="33">
        <v>-961</v>
      </c>
      <c r="AE6" s="33">
        <v>-696</v>
      </c>
      <c r="AF6" s="33">
        <v>-863</v>
      </c>
      <c r="AG6" s="33">
        <v>-986</v>
      </c>
      <c r="AH6" s="33">
        <v>-1121</v>
      </c>
      <c r="AI6" s="33">
        <v>-985</v>
      </c>
      <c r="AJ6" s="33">
        <v>-1164</v>
      </c>
      <c r="AK6" s="33">
        <v>-902</v>
      </c>
      <c r="AL6" s="33">
        <v>-1480</v>
      </c>
      <c r="AM6" s="33">
        <v>-1114</v>
      </c>
      <c r="AN6" s="33">
        <v>-1334</v>
      </c>
      <c r="AO6" s="33">
        <v>-1591</v>
      </c>
      <c r="AP6" s="33">
        <v>-1776</v>
      </c>
      <c r="AQ6" s="33">
        <v>-1705</v>
      </c>
      <c r="AR6" s="33">
        <v>-1586</v>
      </c>
      <c r="AS6" s="33">
        <v>-1744</v>
      </c>
      <c r="AT6" s="33">
        <v>-1834</v>
      </c>
      <c r="AU6" s="33">
        <v>-1571</v>
      </c>
      <c r="AV6" s="33">
        <v>-1797</v>
      </c>
      <c r="AW6" s="33">
        <v>-1871</v>
      </c>
      <c r="AX6" s="33">
        <v>-1662</v>
      </c>
      <c r="AY6" s="33">
        <v>-2205</v>
      </c>
      <c r="AZ6" s="33">
        <v>-2189</v>
      </c>
      <c r="BA6" s="33">
        <v>-2415</v>
      </c>
      <c r="BB6" s="33">
        <v>-3021</v>
      </c>
      <c r="BC6" s="33">
        <v>-3316</v>
      </c>
    </row>
    <row r="7" spans="1:55" x14ac:dyDescent="0.4">
      <c r="A7" s="8" t="s">
        <v>116</v>
      </c>
      <c r="B7" s="1" t="s">
        <v>5</v>
      </c>
      <c r="C7" s="2">
        <v>-3142.3539999999998</v>
      </c>
      <c r="D7" s="2">
        <v>-3152.355</v>
      </c>
      <c r="E7" s="2">
        <v>-3290.9349999999999</v>
      </c>
      <c r="F7" s="2">
        <v>-3381.6440000000002</v>
      </c>
      <c r="G7" s="2">
        <v>-3130.8560000000002</v>
      </c>
      <c r="H7" s="2">
        <v>-3306.395</v>
      </c>
      <c r="I7" s="2">
        <v>-3475.0039999999999</v>
      </c>
      <c r="J7" s="2">
        <v>-3513</v>
      </c>
      <c r="K7" s="2">
        <v>-3048.3629999999998</v>
      </c>
      <c r="L7" s="2">
        <v>-3455.9079999999999</v>
      </c>
      <c r="M7" s="2">
        <v>-3360.2150000000001</v>
      </c>
      <c r="N7" s="2">
        <v>-3519</v>
      </c>
      <c r="O7" s="2">
        <v>-3255.8780000000002</v>
      </c>
      <c r="P7" s="2">
        <v>-3436.366</v>
      </c>
      <c r="Q7" s="2">
        <v>-3397.1080000000002</v>
      </c>
      <c r="R7" s="2">
        <v>-3706</v>
      </c>
      <c r="S7" s="2">
        <v>-3357.1790000000001</v>
      </c>
      <c r="T7" s="2">
        <v>-3564.9839999999999</v>
      </c>
      <c r="U7" s="2">
        <v>-3833.3539999999998</v>
      </c>
      <c r="V7" s="2">
        <v>-3945</v>
      </c>
      <c r="W7" s="2">
        <v>-3336.4389999999999</v>
      </c>
      <c r="X7" s="2">
        <v>-3561.2959999999998</v>
      </c>
      <c r="Y7" s="2">
        <v>-3378.201</v>
      </c>
      <c r="Z7" s="2">
        <v>-4128</v>
      </c>
      <c r="AA7" s="2">
        <v>-3698</v>
      </c>
      <c r="AB7" s="33">
        <v>-4020</v>
      </c>
      <c r="AC7" s="33">
        <v>-4149</v>
      </c>
      <c r="AD7" s="33">
        <v>-4331</v>
      </c>
      <c r="AE7" s="33">
        <v>-4052</v>
      </c>
      <c r="AF7" s="33">
        <v>-4768</v>
      </c>
      <c r="AG7" s="33">
        <v>-4962</v>
      </c>
      <c r="AH7" s="33">
        <v>-5267</v>
      </c>
      <c r="AI7" s="33">
        <v>-4380</v>
      </c>
      <c r="AJ7" s="33">
        <v>-5320</v>
      </c>
      <c r="AK7" s="33">
        <v>-5229</v>
      </c>
      <c r="AL7" s="33">
        <v>-5832</v>
      </c>
      <c r="AM7" s="33">
        <v>-5279</v>
      </c>
      <c r="AN7" s="33">
        <v>-6126</v>
      </c>
      <c r="AO7" s="33">
        <v>-6474</v>
      </c>
      <c r="AP7" s="33">
        <v>-7129</v>
      </c>
      <c r="AQ7" s="33">
        <v>-5733</v>
      </c>
      <c r="AR7" s="33">
        <v>-6091</v>
      </c>
      <c r="AS7" s="33">
        <v>-5753</v>
      </c>
      <c r="AT7" s="33">
        <v>-6318</v>
      </c>
      <c r="AU7" s="33">
        <v>-5846</v>
      </c>
      <c r="AV7" s="33">
        <v>-6690</v>
      </c>
      <c r="AW7" s="33">
        <v>-6181</v>
      </c>
      <c r="AX7" s="33">
        <v>-7255</v>
      </c>
      <c r="AY7" s="33">
        <v>-6341</v>
      </c>
      <c r="AZ7" s="33">
        <v>-7785</v>
      </c>
      <c r="BA7" s="33">
        <v>-8914</v>
      </c>
      <c r="BB7" s="33">
        <f>-8331</f>
        <v>-8331</v>
      </c>
      <c r="BC7" s="33">
        <v>-7334</v>
      </c>
    </row>
    <row r="8" spans="1:55" ht="17.5" thickBot="1" x14ac:dyDescent="0.45">
      <c r="A8" s="7" t="s">
        <v>117</v>
      </c>
      <c r="B8" s="1" t="s">
        <v>6</v>
      </c>
      <c r="C8" s="4">
        <v>-6317.8670000000002</v>
      </c>
      <c r="D8" s="4">
        <v>-5129.3090000000002</v>
      </c>
      <c r="E8" s="4">
        <v>-6242.1720000000005</v>
      </c>
      <c r="F8" s="4">
        <v>-6427.777</v>
      </c>
      <c r="G8" s="4">
        <v>-6334.942</v>
      </c>
      <c r="H8" s="4">
        <v>-6915.51</v>
      </c>
      <c r="I8" s="4">
        <v>-6848.1980000000003</v>
      </c>
      <c r="J8" s="4">
        <v>-7254</v>
      </c>
      <c r="K8" s="4">
        <v>-6213.5110000000004</v>
      </c>
      <c r="L8" s="4">
        <v>-6820.9529999999995</v>
      </c>
      <c r="M8" s="4">
        <v>-6931.3730000000005</v>
      </c>
      <c r="N8" s="4">
        <v>-7061</v>
      </c>
      <c r="O8" s="4">
        <v>-6137.3540000000003</v>
      </c>
      <c r="P8" s="4">
        <v>-6352.1210000000001</v>
      </c>
      <c r="Q8" s="4">
        <v>-6385.0450000000001</v>
      </c>
      <c r="R8" s="4">
        <v>-6757</v>
      </c>
      <c r="S8" s="4">
        <v>-5872.6489999999994</v>
      </c>
      <c r="T8" s="4">
        <v>-6150.3029999999999</v>
      </c>
      <c r="U8" s="4">
        <v>-6666.19</v>
      </c>
      <c r="V8" s="4">
        <v>-7037</v>
      </c>
      <c r="W8" s="4">
        <v>-6193.53</v>
      </c>
      <c r="X8" s="4">
        <v>-6758.5450000000001</v>
      </c>
      <c r="Y8" s="4">
        <v>-6560.9780000000001</v>
      </c>
      <c r="Z8" s="4">
        <v>-7280</v>
      </c>
      <c r="AA8" s="4">
        <v>-6572</v>
      </c>
      <c r="AB8" s="34">
        <f>SUM(AB5:AB7)</f>
        <v>-7081</v>
      </c>
      <c r="AC8" s="34">
        <f>SUM(AC5:AC7)</f>
        <v>-7479</v>
      </c>
      <c r="AD8" s="34">
        <v>-7726</v>
      </c>
      <c r="AE8" s="34">
        <f>SUM(AE5:AE7)</f>
        <v>-6691</v>
      </c>
      <c r="AF8" s="34">
        <v>-8014</v>
      </c>
      <c r="AG8" s="34">
        <v>-8072</v>
      </c>
      <c r="AH8" s="34">
        <v>-8805</v>
      </c>
      <c r="AI8" s="34">
        <f>SUM(AI5:AI7)</f>
        <v>-7472</v>
      </c>
      <c r="AJ8" s="34">
        <f>SUM(AJ5:AJ7)</f>
        <v>-8770</v>
      </c>
      <c r="AK8" s="34">
        <v>-8545</v>
      </c>
      <c r="AL8" s="34">
        <f>SUM(AL5:AL7)</f>
        <v>-9972</v>
      </c>
      <c r="AM8" s="34">
        <f>SUM(AM5:AM7)</f>
        <v>-8950</v>
      </c>
      <c r="AN8" s="34">
        <f>SUM(AN5:AN7)</f>
        <v>-10285</v>
      </c>
      <c r="AO8" s="34">
        <f>SUM(AO5:AO7)</f>
        <v>-11038</v>
      </c>
      <c r="AP8" s="34">
        <f>SUM(AP5:AP7)</f>
        <v>-11983</v>
      </c>
      <c r="AQ8" s="34">
        <v>-10128</v>
      </c>
      <c r="AR8" s="34">
        <v>-10342</v>
      </c>
      <c r="AS8" s="34">
        <v>-10246</v>
      </c>
      <c r="AT8" s="34">
        <f>SUM(AT5:AT7)</f>
        <v>-10877</v>
      </c>
      <c r="AU8" s="34">
        <v>-10171</v>
      </c>
      <c r="AV8" s="34">
        <v>-11431</v>
      </c>
      <c r="AW8" s="34">
        <v>-11336</v>
      </c>
      <c r="AX8" s="34">
        <v>-12176</v>
      </c>
      <c r="AY8" s="34">
        <v>-11906</v>
      </c>
      <c r="AZ8" s="34">
        <v>-13666</v>
      </c>
      <c r="BA8" s="34">
        <v>-14822</v>
      </c>
      <c r="BB8" s="34">
        <v>-15036</v>
      </c>
      <c r="BC8" s="34">
        <v>-14957</v>
      </c>
    </row>
    <row r="9" spans="1:55" ht="17.5" thickBot="1" x14ac:dyDescent="0.35">
      <c r="A9" s="11" t="s">
        <v>118</v>
      </c>
      <c r="B9" s="26" t="s">
        <v>107</v>
      </c>
      <c r="C9" s="27">
        <v>1739.5439999999999</v>
      </c>
      <c r="D9" s="27">
        <v>1626.8099999999995</v>
      </c>
      <c r="E9" s="27">
        <v>1838.2769999999991</v>
      </c>
      <c r="F9" s="27">
        <v>881.29500000000007</v>
      </c>
      <c r="G9" s="27">
        <v>215.05400000000009</v>
      </c>
      <c r="H9" s="27">
        <v>1623.7489999999998</v>
      </c>
      <c r="I9" s="27">
        <v>1329.7069999999994</v>
      </c>
      <c r="J9" s="27">
        <v>596</v>
      </c>
      <c r="K9" s="27">
        <v>816.52999999999975</v>
      </c>
      <c r="L9" s="27">
        <v>18.525000000000546</v>
      </c>
      <c r="M9" s="27">
        <v>861.92699999999968</v>
      </c>
      <c r="N9" s="27">
        <v>692</v>
      </c>
      <c r="O9" s="27">
        <v>1528.2709999999997</v>
      </c>
      <c r="P9" s="27">
        <f>P4+P8</f>
        <v>947.45799999999963</v>
      </c>
      <c r="Q9" s="27">
        <f>Q4+Q8</f>
        <v>1283.1409999999996</v>
      </c>
      <c r="R9" s="27">
        <v>2253</v>
      </c>
      <c r="S9" s="27">
        <v>491.15900000000056</v>
      </c>
      <c r="T9" s="27">
        <v>1433.7120000000004</v>
      </c>
      <c r="U9" s="27">
        <v>1675.9129999999996</v>
      </c>
      <c r="V9" s="27">
        <v>2313</v>
      </c>
      <c r="W9" s="27">
        <v>1855.768</v>
      </c>
      <c r="X9" s="27">
        <v>2119.7890000000007</v>
      </c>
      <c r="Y9" s="27">
        <v>2792.0899999999992</v>
      </c>
      <c r="Z9" s="27">
        <v>3998</v>
      </c>
      <c r="AA9" s="27">
        <v>1826</v>
      </c>
      <c r="AB9" s="27">
        <f>AB4+AB8</f>
        <v>3147</v>
      </c>
      <c r="AC9" s="27">
        <f>AC4+AC8</f>
        <v>3345</v>
      </c>
      <c r="AD9" s="27">
        <v>4982</v>
      </c>
      <c r="AE9" s="27">
        <f>AE4+AE8</f>
        <v>1900</v>
      </c>
      <c r="AF9" s="27">
        <v>4642</v>
      </c>
      <c r="AG9" s="27">
        <v>3623</v>
      </c>
      <c r="AH9" s="27">
        <v>4305</v>
      </c>
      <c r="AI9" s="27">
        <v>3077</v>
      </c>
      <c r="AJ9" s="27">
        <v>3341</v>
      </c>
      <c r="AK9" s="27">
        <v>4448</v>
      </c>
      <c r="AL9" s="27">
        <v>5509</v>
      </c>
      <c r="AM9" s="27">
        <v>3846</v>
      </c>
      <c r="AN9" s="27">
        <v>6095</v>
      </c>
      <c r="AO9" s="27">
        <f>AO4+AO8</f>
        <v>6836</v>
      </c>
      <c r="AP9" s="27">
        <f>AP4+AP8-1</f>
        <v>10694</v>
      </c>
      <c r="AQ9" s="27">
        <v>4723</v>
      </c>
      <c r="AR9" s="41">
        <f>AR4+AR8</f>
        <v>5335</v>
      </c>
      <c r="AS9" s="41">
        <v>6796</v>
      </c>
      <c r="AT9" s="41">
        <f>AT4+AT8</f>
        <v>10535</v>
      </c>
      <c r="AU9" s="41">
        <v>7059</v>
      </c>
      <c r="AV9" s="41">
        <v>8652</v>
      </c>
      <c r="AW9" s="41">
        <v>11409</v>
      </c>
      <c r="AX9" s="41">
        <v>11858</v>
      </c>
      <c r="AY9" s="41">
        <v>15150</v>
      </c>
      <c r="AZ9" s="41">
        <v>10787</v>
      </c>
      <c r="BA9" s="41">
        <v>27142</v>
      </c>
      <c r="BB9" s="41">
        <v>25474</v>
      </c>
      <c r="BC9" s="41">
        <v>29137</v>
      </c>
    </row>
    <row r="10" spans="1:55" ht="3.75" customHeight="1" x14ac:dyDescent="0.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55" x14ac:dyDescent="0.4">
      <c r="A11" s="7" t="s">
        <v>119</v>
      </c>
      <c r="B11" s="1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55" ht="3.75" customHeight="1" x14ac:dyDescent="0.4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55" x14ac:dyDescent="0.4">
      <c r="A13" s="7" t="s">
        <v>120</v>
      </c>
      <c r="B13" s="1" t="s">
        <v>8</v>
      </c>
      <c r="C13" s="4">
        <v>-155.452</v>
      </c>
      <c r="D13" s="4">
        <v>-179.76700000000005</v>
      </c>
      <c r="E13" s="4">
        <v>-204.47199999999998</v>
      </c>
      <c r="F13" s="4">
        <v>-122.16800000000001</v>
      </c>
      <c r="G13" s="4">
        <v>64.247999999999934</v>
      </c>
      <c r="H13" s="4">
        <v>259.19499999999994</v>
      </c>
      <c r="I13" s="4">
        <v>235.40599999999995</v>
      </c>
      <c r="J13" s="4">
        <v>-6</v>
      </c>
      <c r="K13" s="4">
        <v>80.55400000000003</v>
      </c>
      <c r="L13" s="4">
        <v>21.389999999999986</v>
      </c>
      <c r="M13" s="4">
        <v>-122.803</v>
      </c>
      <c r="N13" s="4">
        <v>-232</v>
      </c>
      <c r="O13" s="4">
        <v>-296.89799999999997</v>
      </c>
      <c r="P13" s="4">
        <f>180.018-411.998</f>
        <v>-231.98</v>
      </c>
      <c r="Q13" s="4">
        <f>243.736-528.818</f>
        <v>-285.08199999999999</v>
      </c>
      <c r="R13" s="4">
        <v>-234</v>
      </c>
      <c r="S13" s="4">
        <v>-231.01600000000002</v>
      </c>
      <c r="T13" s="4">
        <v>-339.21100000000001</v>
      </c>
      <c r="U13" s="4">
        <v>-523.88099999999997</v>
      </c>
      <c r="V13" s="4">
        <v>-583</v>
      </c>
      <c r="W13" s="4">
        <v>-696.16800000000012</v>
      </c>
      <c r="X13" s="4">
        <v>-848.31700000000001</v>
      </c>
      <c r="Y13" s="4">
        <v>-926.99900000000002</v>
      </c>
      <c r="Z13" s="4">
        <v>-1205</v>
      </c>
      <c r="AA13" s="4">
        <v>-733</v>
      </c>
      <c r="AB13" s="33">
        <v>-778</v>
      </c>
      <c r="AC13" s="33">
        <v>-694</v>
      </c>
      <c r="AD13" s="33">
        <v>-540</v>
      </c>
      <c r="AE13" s="33">
        <f>546-880</f>
        <v>-334</v>
      </c>
      <c r="AF13" s="33">
        <v>73</v>
      </c>
      <c r="AG13" s="33">
        <v>-17</v>
      </c>
      <c r="AH13" s="33">
        <v>-184</v>
      </c>
      <c r="AI13" s="33">
        <f>426-447</f>
        <v>-21</v>
      </c>
      <c r="AJ13" s="33">
        <v>-38</v>
      </c>
      <c r="AK13" s="33">
        <v>-161</v>
      </c>
      <c r="AL13" s="33">
        <v>-380</v>
      </c>
      <c r="AM13" s="33">
        <v>-211</v>
      </c>
      <c r="AN13" s="33">
        <v>-604</v>
      </c>
      <c r="AO13" s="33">
        <v>-1367</v>
      </c>
      <c r="AP13" s="33">
        <v>-1817</v>
      </c>
      <c r="AQ13" s="33">
        <v>-1665</v>
      </c>
      <c r="AR13" s="33">
        <v>-1567</v>
      </c>
      <c r="AS13" s="33">
        <v>-1522</v>
      </c>
      <c r="AT13" s="33">
        <v>-1482</v>
      </c>
      <c r="AU13" s="33">
        <f>-2095+905</f>
        <v>-1190</v>
      </c>
      <c r="AV13" s="33">
        <v>-1358</v>
      </c>
      <c r="AW13" s="33">
        <v>-1200</v>
      </c>
      <c r="AX13" s="33">
        <v>-1045</v>
      </c>
      <c r="AY13" s="33">
        <v>-1591</v>
      </c>
      <c r="AZ13" s="33">
        <v>-2269</v>
      </c>
      <c r="BA13" s="33">
        <v>-4352</v>
      </c>
      <c r="BB13" s="33">
        <v>-4587</v>
      </c>
      <c r="BC13" s="33">
        <v>-5185</v>
      </c>
    </row>
    <row r="14" spans="1:55" x14ac:dyDescent="0.4">
      <c r="A14" s="7" t="s">
        <v>121</v>
      </c>
      <c r="B14" s="1" t="s">
        <v>9</v>
      </c>
      <c r="C14" s="4">
        <v>48.250999999999998</v>
      </c>
      <c r="D14" s="4">
        <v>94.44</v>
      </c>
      <c r="E14" s="4">
        <v>142.786</v>
      </c>
      <c r="F14" s="4">
        <v>120.99900000000002</v>
      </c>
      <c r="G14" s="4">
        <v>22.52</v>
      </c>
      <c r="H14" s="4">
        <v>20.318999999999999</v>
      </c>
      <c r="I14" s="4">
        <v>-22.181999999999999</v>
      </c>
      <c r="J14" s="4">
        <v>-38</v>
      </c>
      <c r="K14" s="4">
        <v>67.588999999999999</v>
      </c>
      <c r="L14" s="4">
        <v>-3.0369999999999999</v>
      </c>
      <c r="M14" s="4">
        <v>60.198999999999998</v>
      </c>
      <c r="N14" s="4">
        <v>76</v>
      </c>
      <c r="O14" s="4">
        <v>96.775000000000006</v>
      </c>
      <c r="P14" s="4">
        <v>9.9689999999999994</v>
      </c>
      <c r="Q14" s="4">
        <v>93.707999999999998</v>
      </c>
      <c r="R14" s="4">
        <v>-270</v>
      </c>
      <c r="S14" s="4">
        <v>61.701999999999998</v>
      </c>
      <c r="T14" s="4">
        <v>79.188000000000002</v>
      </c>
      <c r="U14" s="4">
        <v>102.872</v>
      </c>
      <c r="V14" s="4">
        <v>64</v>
      </c>
      <c r="W14" s="4">
        <v>42.551000000000002</v>
      </c>
      <c r="X14" s="4">
        <v>52.835999999999999</v>
      </c>
      <c r="Y14" s="4">
        <v>121.105</v>
      </c>
      <c r="Z14" s="4">
        <v>193</v>
      </c>
      <c r="AA14" s="4">
        <v>47</v>
      </c>
      <c r="AB14" s="33">
        <v>82</v>
      </c>
      <c r="AC14" s="33">
        <v>87</v>
      </c>
      <c r="AD14" s="33">
        <v>122</v>
      </c>
      <c r="AE14" s="33">
        <v>42</v>
      </c>
      <c r="AF14" s="33">
        <v>150</v>
      </c>
      <c r="AG14" s="33">
        <v>141</v>
      </c>
      <c r="AH14" s="33">
        <v>114</v>
      </c>
      <c r="AI14" s="33">
        <v>83</v>
      </c>
      <c r="AJ14" s="33">
        <v>-54</v>
      </c>
      <c r="AK14" s="33">
        <v>66</v>
      </c>
      <c r="AL14" s="33">
        <v>22</v>
      </c>
      <c r="AM14" s="33">
        <v>102</v>
      </c>
      <c r="AN14" s="33">
        <v>116</v>
      </c>
      <c r="AO14" s="33">
        <v>266</v>
      </c>
      <c r="AP14" s="33">
        <v>293</v>
      </c>
      <c r="AQ14" s="33">
        <v>74</v>
      </c>
      <c r="AR14" s="33">
        <v>183</v>
      </c>
      <c r="AS14" s="33">
        <v>159</v>
      </c>
      <c r="AT14" s="33">
        <v>347</v>
      </c>
      <c r="AU14" s="33">
        <v>88</v>
      </c>
      <c r="AV14" s="33">
        <v>265</v>
      </c>
      <c r="AW14" s="33">
        <v>68</v>
      </c>
      <c r="AX14" s="33">
        <v>13</v>
      </c>
      <c r="AY14" s="33">
        <v>157</v>
      </c>
      <c r="AZ14" s="33">
        <v>87</v>
      </c>
      <c r="BA14" s="33">
        <v>244</v>
      </c>
      <c r="BB14" s="33">
        <v>137</v>
      </c>
      <c r="BC14" s="33">
        <v>79</v>
      </c>
    </row>
    <row r="15" spans="1:55" x14ac:dyDescent="0.4">
      <c r="A15" s="7" t="s">
        <v>122</v>
      </c>
      <c r="B15" s="1" t="s">
        <v>108</v>
      </c>
      <c r="C15" s="4">
        <v>405</v>
      </c>
      <c r="D15" s="4">
        <v>464.024</v>
      </c>
      <c r="E15" s="4">
        <v>28.984999999999999</v>
      </c>
      <c r="F15" s="4">
        <v>575.53899999999987</v>
      </c>
      <c r="G15" s="4">
        <v>21.728999999999928</v>
      </c>
      <c r="H15" s="4">
        <v>-350.02499999999998</v>
      </c>
      <c r="I15" s="4">
        <v>320.65800000000002</v>
      </c>
      <c r="J15" s="4">
        <v>247</v>
      </c>
      <c r="K15" s="4">
        <v>72.574000000000012</v>
      </c>
      <c r="L15" s="4">
        <v>100.55000000000001</v>
      </c>
      <c r="M15" s="4">
        <v>1093.7719999999999</v>
      </c>
      <c r="N15" s="4">
        <v>352</v>
      </c>
      <c r="O15" s="4">
        <v>-902.64400000000001</v>
      </c>
      <c r="P15" s="4">
        <f>117.396+135.968</f>
        <v>253.36399999999998</v>
      </c>
      <c r="Q15" s="4">
        <f>979.044-1316.678</f>
        <v>-337.63400000000013</v>
      </c>
      <c r="R15" s="4">
        <v>717</v>
      </c>
      <c r="S15" s="4">
        <v>444.12299999999982</v>
      </c>
      <c r="T15" s="4">
        <v>-34.768000000000001</v>
      </c>
      <c r="U15" s="4">
        <v>22.547000000000011</v>
      </c>
      <c r="V15" s="4">
        <v>430</v>
      </c>
      <c r="W15" s="4">
        <v>268.44200000000006</v>
      </c>
      <c r="X15" s="4">
        <v>457.07799999999997</v>
      </c>
      <c r="Y15" s="4">
        <v>365.113</v>
      </c>
      <c r="Z15" s="4">
        <v>295</v>
      </c>
      <c r="AA15" s="4">
        <v>645</v>
      </c>
      <c r="AB15" s="33">
        <v>288</v>
      </c>
      <c r="AC15" s="33">
        <v>116</v>
      </c>
      <c r="AD15" s="33">
        <v>-288</v>
      </c>
      <c r="AE15" s="33">
        <v>76</v>
      </c>
      <c r="AF15" s="33">
        <f>256-76</f>
        <v>180</v>
      </c>
      <c r="AG15" s="33">
        <v>240</v>
      </c>
      <c r="AH15" s="33">
        <v>734</v>
      </c>
      <c r="AI15" s="33">
        <v>225</v>
      </c>
      <c r="AJ15" s="33">
        <v>470</v>
      </c>
      <c r="AK15" s="33">
        <v>298</v>
      </c>
      <c r="AL15" s="33">
        <v>367</v>
      </c>
      <c r="AM15" s="33">
        <v>797</v>
      </c>
      <c r="AN15" s="33">
        <v>1869</v>
      </c>
      <c r="AO15" s="33">
        <v>2804</v>
      </c>
      <c r="AP15" s="33">
        <v>-1806</v>
      </c>
      <c r="AQ15" s="33">
        <v>-339</v>
      </c>
      <c r="AR15" s="33">
        <v>1517</v>
      </c>
      <c r="AS15" s="33">
        <v>3013</v>
      </c>
      <c r="AT15" s="33">
        <v>-2736</v>
      </c>
      <c r="AU15" s="33">
        <v>2004</v>
      </c>
      <c r="AV15" s="33">
        <v>1014</v>
      </c>
      <c r="AW15" s="33">
        <v>-626</v>
      </c>
      <c r="AX15" s="33">
        <v>1659</v>
      </c>
      <c r="AY15" s="33">
        <v>917</v>
      </c>
      <c r="AZ15" s="33">
        <v>9294</v>
      </c>
      <c r="BA15" s="33">
        <v>-1013</v>
      </c>
      <c r="BB15" s="33">
        <v>253</v>
      </c>
      <c r="BC15" s="33">
        <v>-1307</v>
      </c>
    </row>
    <row r="16" spans="1:55" x14ac:dyDescent="0.4">
      <c r="B16" s="1" t="s">
        <v>61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</row>
    <row r="17" spans="1:55" x14ac:dyDescent="0.4">
      <c r="A17" s="7" t="s">
        <v>14</v>
      </c>
      <c r="B17" s="1" t="s">
        <v>10</v>
      </c>
      <c r="C17" s="4">
        <v>67</v>
      </c>
      <c r="D17" s="4">
        <v>271</v>
      </c>
      <c r="E17" s="4">
        <v>133</v>
      </c>
      <c r="F17" s="4">
        <v>139</v>
      </c>
      <c r="G17" s="4">
        <v>130</v>
      </c>
      <c r="H17" s="4">
        <v>70.438999999999993</v>
      </c>
      <c r="I17" s="4">
        <v>42</v>
      </c>
      <c r="J17" s="4">
        <v>59</v>
      </c>
      <c r="K17" s="4">
        <v>14.754000000000003</v>
      </c>
      <c r="L17" s="4">
        <v>7.7830000000000084</v>
      </c>
      <c r="M17" s="4">
        <v>-576.952</v>
      </c>
      <c r="N17" s="4">
        <v>-1032</v>
      </c>
      <c r="O17" s="4">
        <v>177.38799999999998</v>
      </c>
      <c r="P17" s="4">
        <f>4.106+29.292-17.493-137.23+12.191-35.8-50+129.768</f>
        <v>-65.165999999999968</v>
      </c>
      <c r="Q17" s="4">
        <f>90.467+32.903+25.819-50.996-4.282-120.747+70.024</f>
        <v>43.187999999999988</v>
      </c>
      <c r="R17" s="4">
        <v>-21</v>
      </c>
      <c r="S17" s="4">
        <v>10.924999999999997</v>
      </c>
      <c r="T17" s="4">
        <v>126.492</v>
      </c>
      <c r="U17" s="4">
        <v>146.38299999999998</v>
      </c>
      <c r="V17" s="4">
        <v>468</v>
      </c>
      <c r="W17" s="4">
        <v>347.49799999999999</v>
      </c>
      <c r="X17" s="4">
        <v>74.903000000000006</v>
      </c>
      <c r="Y17" s="4">
        <v>108.533</v>
      </c>
      <c r="Z17" s="4">
        <v>243</v>
      </c>
      <c r="AA17" s="4">
        <v>225</v>
      </c>
      <c r="AB17" s="33">
        <f>-424.8-SUM(AB13:AB15)</f>
        <v>-16.800000000000011</v>
      </c>
      <c r="AC17" s="33">
        <v>-295</v>
      </c>
      <c r="AD17" s="33">
        <v>619</v>
      </c>
      <c r="AE17" s="33">
        <f>-18-SUM(AE13:AE15)</f>
        <v>198</v>
      </c>
      <c r="AF17" s="33">
        <v>50</v>
      </c>
      <c r="AG17" s="33">
        <v>1093</v>
      </c>
      <c r="AH17" s="33">
        <v>-182</v>
      </c>
      <c r="AI17" s="33">
        <f>-1837-SUM(AI14:AI16)</f>
        <v>-2145</v>
      </c>
      <c r="AJ17" s="33">
        <v>3159</v>
      </c>
      <c r="AK17" s="33">
        <v>-2259</v>
      </c>
      <c r="AL17" s="33">
        <v>3202</v>
      </c>
      <c r="AM17" s="33">
        <v>-4067</v>
      </c>
      <c r="AN17" s="33">
        <v>634</v>
      </c>
      <c r="AO17" s="33">
        <v>-603</v>
      </c>
      <c r="AP17" s="33">
        <v>837</v>
      </c>
      <c r="AQ17" s="33">
        <v>-166</v>
      </c>
      <c r="AR17" s="33">
        <v>709</v>
      </c>
      <c r="AS17" s="33">
        <v>-52</v>
      </c>
      <c r="AT17" s="33">
        <v>458</v>
      </c>
      <c r="AU17" s="33">
        <v>-7961</v>
      </c>
      <c r="AV17" s="33">
        <v>552</v>
      </c>
      <c r="AW17" s="33">
        <v>538</v>
      </c>
      <c r="AX17" s="33">
        <v>170</v>
      </c>
      <c r="AY17" s="33">
        <v>174</v>
      </c>
      <c r="AZ17" s="33">
        <v>244</v>
      </c>
      <c r="BA17" s="33">
        <v>17</v>
      </c>
      <c r="BB17" s="33">
        <v>-8</v>
      </c>
      <c r="BC17" s="33">
        <v>784</v>
      </c>
    </row>
    <row r="18" spans="1:55" x14ac:dyDescent="0.4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55" x14ac:dyDescent="0.3">
      <c r="A19" s="10" t="s">
        <v>123</v>
      </c>
      <c r="B19" s="1" t="s">
        <v>109</v>
      </c>
      <c r="C19" s="9">
        <v>2104.3429999999998</v>
      </c>
      <c r="D19" s="9">
        <v>2276.5069999999996</v>
      </c>
      <c r="E19" s="9">
        <v>1938.5759999999991</v>
      </c>
      <c r="F19" s="9">
        <v>1594.665</v>
      </c>
      <c r="G19" s="9">
        <v>453.55099999999993</v>
      </c>
      <c r="H19" s="9">
        <v>1623.6769999999999</v>
      </c>
      <c r="I19" s="9">
        <v>1905.5889999999995</v>
      </c>
      <c r="J19" s="9">
        <v>858</v>
      </c>
      <c r="K19" s="9">
        <v>1052.0009999999997</v>
      </c>
      <c r="L19" s="9">
        <v>145.21100000000055</v>
      </c>
      <c r="M19" s="9">
        <v>1316.1429999999996</v>
      </c>
      <c r="N19" s="9">
        <v>-144</v>
      </c>
      <c r="O19" s="9">
        <v>602.89199999999983</v>
      </c>
      <c r="P19" s="9">
        <f>SUM(P9,P13:P17)</f>
        <v>913.64499999999975</v>
      </c>
      <c r="Q19" s="9">
        <f>SUM(Q9,Q13:Q17)</f>
        <v>797.32099999999946</v>
      </c>
      <c r="R19" s="9">
        <v>2443</v>
      </c>
      <c r="S19" s="9">
        <v>776.89300000000026</v>
      </c>
      <c r="T19" s="9">
        <v>1265.4130000000005</v>
      </c>
      <c r="U19" s="9">
        <v>1423.8339999999998</v>
      </c>
      <c r="V19" s="9">
        <v>2692</v>
      </c>
      <c r="W19" s="9">
        <v>1818.0909999999999</v>
      </c>
      <c r="X19" s="9">
        <v>1856.2890000000007</v>
      </c>
      <c r="Y19" s="9">
        <v>2459.8419999999992</v>
      </c>
      <c r="Z19" s="9">
        <v>3525</v>
      </c>
      <c r="AA19" s="9">
        <v>2010</v>
      </c>
      <c r="AB19" s="13">
        <v>2722</v>
      </c>
      <c r="AC19" s="13">
        <v>3149</v>
      </c>
      <c r="AD19" s="13">
        <v>4895</v>
      </c>
      <c r="AE19" s="13">
        <v>1882</v>
      </c>
      <c r="AF19" s="13">
        <v>5096</v>
      </c>
      <c r="AG19" s="13">
        <v>5081</v>
      </c>
      <c r="AH19" s="13">
        <v>4787</v>
      </c>
      <c r="AI19" s="13">
        <f>AI9+SUM(AI13:AI17)</f>
        <v>1219</v>
      </c>
      <c r="AJ19" s="13">
        <v>6879</v>
      </c>
      <c r="AK19" s="13">
        <v>2395</v>
      </c>
      <c r="AL19" s="13">
        <v>8721</v>
      </c>
      <c r="AM19" s="13">
        <v>467</v>
      </c>
      <c r="AN19" s="13">
        <v>8106</v>
      </c>
      <c r="AO19" s="13">
        <v>7937</v>
      </c>
      <c r="AP19" s="13">
        <v>8201</v>
      </c>
      <c r="AQ19" s="13">
        <v>2627</v>
      </c>
      <c r="AR19" s="33">
        <v>6177</v>
      </c>
      <c r="AS19" s="33">
        <v>8394</v>
      </c>
      <c r="AT19" s="33">
        <v>7122</v>
      </c>
      <c r="AU19" s="33">
        <v>8007</v>
      </c>
      <c r="AV19" s="33">
        <v>9125</v>
      </c>
      <c r="AW19" s="33">
        <v>10189</v>
      </c>
      <c r="AX19" s="33">
        <v>12655</v>
      </c>
      <c r="AY19" s="33">
        <v>14807</v>
      </c>
      <c r="AZ19" s="33">
        <v>18143</v>
      </c>
      <c r="BA19" s="33">
        <v>22038</v>
      </c>
      <c r="BB19" s="33">
        <v>21269</v>
      </c>
      <c r="BC19" s="33">
        <v>23508</v>
      </c>
    </row>
    <row r="20" spans="1:55" x14ac:dyDescent="0.3">
      <c r="A20" s="7" t="s">
        <v>124</v>
      </c>
      <c r="B20" s="1" t="s">
        <v>11</v>
      </c>
      <c r="C20" s="9">
        <v>-489.01600000000002</v>
      </c>
      <c r="D20" s="9">
        <v>-534.31799999999998</v>
      </c>
      <c r="E20" s="9">
        <v>-470.07600000000002</v>
      </c>
      <c r="F20" s="9">
        <v>-667.04899999999975</v>
      </c>
      <c r="G20" s="9">
        <v>-111.569</v>
      </c>
      <c r="H20" s="9">
        <v>-407.76</v>
      </c>
      <c r="I20" s="9">
        <v>-456.49</v>
      </c>
      <c r="J20" s="9">
        <v>-277</v>
      </c>
      <c r="K20" s="9">
        <v>-318.26499999999999</v>
      </c>
      <c r="L20" s="9">
        <v>-91.793000000000006</v>
      </c>
      <c r="M20" s="9">
        <v>-652.19100000000003</v>
      </c>
      <c r="N20" s="9">
        <v>-37</v>
      </c>
      <c r="O20" s="9">
        <v>-205.46299999999999</v>
      </c>
      <c r="P20" s="9">
        <v>-288.31200000000001</v>
      </c>
      <c r="Q20" s="9">
        <v>-295.50799999999998</v>
      </c>
      <c r="R20" s="9">
        <v>-975</v>
      </c>
      <c r="S20" s="9">
        <v>-194.22300000000001</v>
      </c>
      <c r="T20" s="9">
        <v>-313.44499999999999</v>
      </c>
      <c r="U20" s="9">
        <v>-364.96899999999999</v>
      </c>
      <c r="V20" s="9">
        <v>-924</v>
      </c>
      <c r="W20" s="9">
        <v>-455.14299999999997</v>
      </c>
      <c r="X20" s="9">
        <v>-476.90199999999999</v>
      </c>
      <c r="Y20" s="9">
        <v>-575.56299999999999</v>
      </c>
      <c r="Z20" s="9">
        <v>-866</v>
      </c>
      <c r="AA20" s="9">
        <v>-506</v>
      </c>
      <c r="AB20" s="13">
        <v>-675</v>
      </c>
      <c r="AC20" s="13">
        <v>-756</v>
      </c>
      <c r="AD20" s="13">
        <v>-1112</v>
      </c>
      <c r="AE20" s="13">
        <v>-439</v>
      </c>
      <c r="AF20" s="13">
        <v>-1188</v>
      </c>
      <c r="AG20" s="13">
        <v>-1195</v>
      </c>
      <c r="AH20" s="13">
        <v>-1115</v>
      </c>
      <c r="AI20" s="13">
        <v>-1115</v>
      </c>
      <c r="AJ20" s="13">
        <v>-1598</v>
      </c>
      <c r="AK20" s="13">
        <v>-590</v>
      </c>
      <c r="AL20" s="13">
        <v>-2029</v>
      </c>
      <c r="AM20" s="13">
        <v>-103</v>
      </c>
      <c r="AN20" s="13">
        <v>-1871</v>
      </c>
      <c r="AO20" s="13">
        <v>-1817</v>
      </c>
      <c r="AP20" s="13">
        <v>-1902</v>
      </c>
      <c r="AQ20" s="13">
        <v>-607</v>
      </c>
      <c r="AR20" s="33">
        <v>-1441</v>
      </c>
      <c r="AS20" s="33">
        <v>-2201</v>
      </c>
      <c r="AT20" s="33">
        <v>-1807</v>
      </c>
      <c r="AU20" s="33">
        <v>-1799</v>
      </c>
      <c r="AV20" s="33">
        <v>-2052</v>
      </c>
      <c r="AW20" s="33">
        <v>-2293</v>
      </c>
      <c r="AX20" s="33">
        <v>-3195</v>
      </c>
      <c r="AY20" s="33">
        <v>-3638</v>
      </c>
      <c r="AZ20" s="33">
        <v>-4406</v>
      </c>
      <c r="BA20" s="33">
        <v>-5518</v>
      </c>
      <c r="BB20" s="33">
        <v>-4924</v>
      </c>
      <c r="BC20" s="33">
        <v>-5487</v>
      </c>
    </row>
    <row r="21" spans="1:55" x14ac:dyDescent="0.4">
      <c r="A21" s="7" t="s">
        <v>125</v>
      </c>
      <c r="B21" s="1" t="s">
        <v>12</v>
      </c>
      <c r="C21" s="4">
        <v>-1.712</v>
      </c>
      <c r="D21" s="4">
        <v>-2.69</v>
      </c>
      <c r="E21" s="4">
        <v>2.2730000000000001</v>
      </c>
      <c r="F21" s="4">
        <v>-1.258</v>
      </c>
      <c r="G21" s="4">
        <v>1.9E-2</v>
      </c>
      <c r="H21" s="4">
        <v>-5.1749999999999998</v>
      </c>
      <c r="I21" s="4">
        <v>-2.1360000000000001</v>
      </c>
      <c r="J21" s="4">
        <v>-3</v>
      </c>
      <c r="K21" s="4">
        <v>-10.797000000000001</v>
      </c>
      <c r="L21" s="4">
        <v>23.207000000000001</v>
      </c>
      <c r="M21" s="4">
        <v>-7.43</v>
      </c>
      <c r="N21" s="4">
        <v>58</v>
      </c>
      <c r="O21" s="4">
        <v>-14.398999999999999</v>
      </c>
      <c r="P21" s="4">
        <v>-9.1359999999999992</v>
      </c>
      <c r="Q21" s="4">
        <v>9.8379999999999992</v>
      </c>
      <c r="R21" s="4">
        <v>-18</v>
      </c>
      <c r="S21" s="4">
        <v>-37.716000000000001</v>
      </c>
      <c r="T21" s="4">
        <v>-132.935</v>
      </c>
      <c r="U21" s="4">
        <v>-140.274</v>
      </c>
      <c r="V21" s="4">
        <v>-165</v>
      </c>
      <c r="W21" s="4">
        <v>-450.178</v>
      </c>
      <c r="X21" s="4">
        <v>-738.774</v>
      </c>
      <c r="Y21" s="4">
        <v>-642.85199999999998</v>
      </c>
      <c r="Z21" s="4">
        <v>-545</v>
      </c>
      <c r="AA21" s="4">
        <v>-514</v>
      </c>
      <c r="AB21" s="33">
        <v>-795</v>
      </c>
      <c r="AC21" s="33">
        <v>-671</v>
      </c>
      <c r="AD21" s="33">
        <v>-945</v>
      </c>
      <c r="AE21" s="33">
        <v>-716</v>
      </c>
      <c r="AF21" s="33">
        <v>-1062</v>
      </c>
      <c r="AG21" s="33">
        <v>-1102</v>
      </c>
      <c r="AH21" s="33">
        <v>-1346</v>
      </c>
      <c r="AI21" s="33">
        <v>-1346</v>
      </c>
      <c r="AJ21" s="33">
        <v>-1129</v>
      </c>
      <c r="AK21" s="33">
        <v>-978</v>
      </c>
      <c r="AL21" s="33">
        <v>-1316</v>
      </c>
      <c r="AM21" s="33">
        <v>-1224</v>
      </c>
      <c r="AN21" s="33">
        <v>-1985</v>
      </c>
      <c r="AO21" s="33">
        <v>-2423</v>
      </c>
      <c r="AP21" s="33">
        <v>-2222</v>
      </c>
      <c r="AQ21" s="33">
        <v>-1846</v>
      </c>
      <c r="AR21" s="33">
        <v>-1478</v>
      </c>
      <c r="AS21" s="33">
        <v>-1491</v>
      </c>
      <c r="AT21" s="33">
        <v>-1978</v>
      </c>
      <c r="AU21" s="33">
        <v>-2684</v>
      </c>
      <c r="AV21" s="33">
        <v>-2661</v>
      </c>
      <c r="AW21" s="33">
        <v>-3697</v>
      </c>
      <c r="AX21" s="33">
        <v>-4148</v>
      </c>
      <c r="AY21" s="33">
        <v>-5838</v>
      </c>
      <c r="AZ21" s="33">
        <v>-7234</v>
      </c>
      <c r="BA21" s="33">
        <v>-9114</v>
      </c>
      <c r="BB21" s="33">
        <v>-8179</v>
      </c>
      <c r="BC21" s="33">
        <v>-8390</v>
      </c>
    </row>
    <row r="22" spans="1:55" ht="17.5" thickBot="1" x14ac:dyDescent="0.35">
      <c r="A22" s="10" t="s">
        <v>126</v>
      </c>
      <c r="B22" s="1" t="s">
        <v>110</v>
      </c>
      <c r="C22" s="9">
        <v>1613.6149999999998</v>
      </c>
      <c r="D22" s="9">
        <v>1739.4989999999996</v>
      </c>
      <c r="E22" s="9">
        <v>1470.772999999999</v>
      </c>
      <c r="F22" s="9">
        <v>926.48999999999842</v>
      </c>
      <c r="G22" s="9">
        <v>342.00099999999992</v>
      </c>
      <c r="H22" s="9">
        <v>1210.742</v>
      </c>
      <c r="I22" s="9">
        <v>1446.9629999999995</v>
      </c>
      <c r="J22" s="9">
        <v>579</v>
      </c>
      <c r="K22" s="9">
        <v>722.93899999999974</v>
      </c>
      <c r="L22" s="9">
        <v>76.62500000000054</v>
      </c>
      <c r="M22" s="9">
        <v>656.52199999999959</v>
      </c>
      <c r="N22" s="9">
        <v>-122</v>
      </c>
      <c r="O22" s="9">
        <v>383.02999999999986</v>
      </c>
      <c r="P22" s="9">
        <f>SUM(P19:P21)</f>
        <v>616.19699999999978</v>
      </c>
      <c r="Q22" s="9">
        <f>SUM(Q19:Q21)</f>
        <v>511.6509999999995</v>
      </c>
      <c r="R22" s="9">
        <v>1450</v>
      </c>
      <c r="S22" s="9">
        <v>544.95400000000029</v>
      </c>
      <c r="T22" s="9">
        <v>819.03300000000058</v>
      </c>
      <c r="U22" s="9">
        <v>918.59099999999978</v>
      </c>
      <c r="V22" s="9">
        <v>1603</v>
      </c>
      <c r="W22" s="9">
        <v>912.76999999999987</v>
      </c>
      <c r="X22" s="9">
        <v>640.61300000000062</v>
      </c>
      <c r="Y22" s="9">
        <v>1241.4269999999992</v>
      </c>
      <c r="Z22" s="9">
        <v>2114</v>
      </c>
      <c r="AA22" s="9">
        <v>990</v>
      </c>
      <c r="AB22" s="9">
        <f>SUM(AB19:AB21)</f>
        <v>1252</v>
      </c>
      <c r="AC22" s="9">
        <f>SUM(AC19:AC21)</f>
        <v>1722</v>
      </c>
      <c r="AD22" s="9">
        <v>2838</v>
      </c>
      <c r="AE22" s="9">
        <f>AE19+AE20+AE21</f>
        <v>727</v>
      </c>
      <c r="AF22" s="9">
        <f>AF19+AF20+AF21-1</f>
        <v>2845</v>
      </c>
      <c r="AG22" s="9">
        <v>2784</v>
      </c>
      <c r="AH22" s="9">
        <v>2326</v>
      </c>
      <c r="AI22" s="9">
        <v>2326</v>
      </c>
      <c r="AJ22" s="9">
        <f>SUM(AJ19:AJ21)</f>
        <v>4152</v>
      </c>
      <c r="AK22" s="9">
        <v>827</v>
      </c>
      <c r="AL22" s="9">
        <f>SUM(AL19:AL21)</f>
        <v>5376</v>
      </c>
      <c r="AM22" s="9">
        <f>SUM(AM19:AM21)</f>
        <v>-860</v>
      </c>
      <c r="AN22" s="9">
        <f>SUM(AN19:AN21)</f>
        <v>4250</v>
      </c>
      <c r="AO22" s="9">
        <f>AO19+AO20+AO21-1</f>
        <v>3696</v>
      </c>
      <c r="AP22" s="9">
        <f>AP19+AP20+AP21-1</f>
        <v>4076</v>
      </c>
      <c r="AQ22" s="9">
        <v>174</v>
      </c>
      <c r="AR22" s="4">
        <f>AR19+AR20+AR21</f>
        <v>3258</v>
      </c>
      <c r="AS22" s="4">
        <v>4702</v>
      </c>
      <c r="AT22" s="4">
        <f>AT19+AT20+AT21</f>
        <v>3337</v>
      </c>
      <c r="AU22" s="4">
        <v>3524</v>
      </c>
      <c r="AV22" s="4">
        <v>4412</v>
      </c>
      <c r="AW22" s="4">
        <v>4199</v>
      </c>
      <c r="AX22" s="4">
        <v>5312</v>
      </c>
      <c r="AY22" s="4">
        <v>5331</v>
      </c>
      <c r="AZ22" s="4">
        <v>6504</v>
      </c>
      <c r="BA22" s="4">
        <v>7406</v>
      </c>
      <c r="BB22" s="4">
        <v>8167</v>
      </c>
      <c r="BC22" s="4">
        <v>9631</v>
      </c>
    </row>
    <row r="23" spans="1:55" ht="17.5" thickBot="1" x14ac:dyDescent="0.35">
      <c r="A23" s="11" t="s">
        <v>127</v>
      </c>
      <c r="B23" s="26" t="s">
        <v>13</v>
      </c>
      <c r="C23" s="28">
        <v>0.74</v>
      </c>
      <c r="D23" s="28">
        <v>0.76</v>
      </c>
      <c r="E23" s="28">
        <v>0.64</v>
      </c>
      <c r="F23" s="28">
        <v>0.38999999999999968</v>
      </c>
      <c r="G23" s="28">
        <v>0.15</v>
      </c>
      <c r="H23" s="28">
        <v>0.51</v>
      </c>
      <c r="I23" s="28">
        <v>0.61</v>
      </c>
      <c r="J23" s="28">
        <v>0.22999999999999998</v>
      </c>
      <c r="K23" s="28">
        <v>0.3</v>
      </c>
      <c r="L23" s="28">
        <v>0.03</v>
      </c>
      <c r="M23" s="28">
        <v>0.27</v>
      </c>
      <c r="N23" s="28">
        <v>-3.9999999999999925E-2</v>
      </c>
      <c r="O23" s="28">
        <v>0.16</v>
      </c>
      <c r="P23" s="28">
        <v>0.25</v>
      </c>
      <c r="Q23" s="28">
        <v>0.21</v>
      </c>
      <c r="R23" s="28">
        <v>0.59</v>
      </c>
      <c r="S23" s="28">
        <v>0.22</v>
      </c>
      <c r="T23" s="28">
        <v>0.31</v>
      </c>
      <c r="U23" s="28">
        <v>0.35</v>
      </c>
      <c r="V23" s="28">
        <v>0.61</v>
      </c>
      <c r="W23" s="28">
        <v>0.34</v>
      </c>
      <c r="X23" s="28">
        <v>0.23</v>
      </c>
      <c r="Y23" s="28">
        <v>0.44</v>
      </c>
      <c r="Z23" s="28">
        <v>0.76</v>
      </c>
      <c r="AA23" s="28">
        <v>0.35</v>
      </c>
      <c r="AB23" s="28">
        <v>0.44</v>
      </c>
      <c r="AC23" s="28">
        <v>0.61</v>
      </c>
      <c r="AD23" s="28">
        <v>1</v>
      </c>
      <c r="AE23" s="28">
        <v>0.26</v>
      </c>
      <c r="AF23" s="28">
        <v>1.01</v>
      </c>
      <c r="AG23" s="28">
        <v>1</v>
      </c>
      <c r="AH23" s="28">
        <v>0.84</v>
      </c>
      <c r="AI23" s="28">
        <v>0.84</v>
      </c>
      <c r="AJ23" s="28">
        <v>1.49</v>
      </c>
      <c r="AK23" s="28">
        <v>0.3</v>
      </c>
      <c r="AL23" s="28">
        <v>1.93</v>
      </c>
      <c r="AM23" s="28">
        <v>-0.31</v>
      </c>
      <c r="AN23" s="28">
        <v>1.53</v>
      </c>
      <c r="AO23" s="28">
        <v>1.33</v>
      </c>
      <c r="AP23" s="28">
        <v>1.46</v>
      </c>
      <c r="AQ23" s="28">
        <v>0.06</v>
      </c>
      <c r="AR23" s="43">
        <v>1.1599999999999999</v>
      </c>
      <c r="AS23" s="43">
        <v>1.67</v>
      </c>
      <c r="AT23" s="43">
        <v>1.18</v>
      </c>
      <c r="AU23" s="43">
        <v>1.24</v>
      </c>
      <c r="AV23" s="43">
        <v>1.55</v>
      </c>
      <c r="AW23" s="43">
        <v>1.47</v>
      </c>
      <c r="AX23" s="43">
        <v>1.85</v>
      </c>
      <c r="AY23" s="43">
        <v>1.85</v>
      </c>
      <c r="AZ23" s="43">
        <v>2.2000000000000002</v>
      </c>
      <c r="BA23" s="43">
        <v>2.36</v>
      </c>
      <c r="BB23" s="43">
        <v>2.6</v>
      </c>
      <c r="BC23" s="43">
        <v>3.06</v>
      </c>
    </row>
    <row r="24" spans="1:55" x14ac:dyDescent="0.4">
      <c r="F24" s="4"/>
    </row>
    <row r="25" spans="1:55" ht="16.5" customHeight="1" x14ac:dyDescent="0.3">
      <c r="A25" s="53"/>
      <c r="B25" s="53"/>
      <c r="D25" s="5"/>
      <c r="F25" s="3"/>
    </row>
  </sheetData>
  <mergeCells count="1">
    <mergeCell ref="A25:B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AB8:AC8 AD8:AE8 AF8:AP8 AT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29"/>
  <sheetViews>
    <sheetView showGridLines="0" tabSelected="1" view="pageBreakPreview" zoomScale="60" zoomScaleNormal="100" workbookViewId="0">
      <pane xSplit="2" ySplit="2" topLeftCell="BK3" activePane="bottomRight" state="frozen"/>
      <selection activeCell="CI8" sqref="CI8"/>
      <selection pane="topRight" activeCell="CI8" sqref="CI8"/>
      <selection pane="bottomLeft" activeCell="CI8" sqref="CI8"/>
      <selection pane="bottomRight" activeCell="CO1" sqref="CO1:CP1048576"/>
    </sheetView>
  </sheetViews>
  <sheetFormatPr defaultRowHeight="17" x14ac:dyDescent="0.4"/>
  <cols>
    <col min="1" max="1" width="27.90625" bestFit="1" customWidth="1"/>
    <col min="2" max="2" width="27.453125" bestFit="1" customWidth="1"/>
    <col min="3" max="3" width="9.54296875" hidden="1" customWidth="1"/>
    <col min="4" max="4" width="4.90625" hidden="1" customWidth="1"/>
    <col min="5" max="5" width="9.54296875" hidden="1" customWidth="1"/>
    <col min="6" max="6" width="4.90625" hidden="1" customWidth="1"/>
    <col min="7" max="7" width="9.54296875" hidden="1" customWidth="1"/>
    <col min="8" max="8" width="4.90625" hidden="1" customWidth="1"/>
    <col min="9" max="9" width="9.54296875" hidden="1" customWidth="1"/>
    <col min="10" max="10" width="4.90625" hidden="1" customWidth="1"/>
    <col min="11" max="11" width="9.54296875" hidden="1" customWidth="1"/>
    <col min="12" max="12" width="4.90625" hidden="1" customWidth="1"/>
    <col min="13" max="13" width="9.26953125" hidden="1" customWidth="1"/>
    <col min="14" max="14" width="4.90625" hidden="1" customWidth="1"/>
    <col min="15" max="15" width="9.26953125" hidden="1" customWidth="1"/>
    <col min="16" max="16" width="4.90625" hidden="1" customWidth="1"/>
    <col min="17" max="17" width="9.26953125" hidden="1" customWidth="1"/>
    <col min="18" max="18" width="4.90625" hidden="1" customWidth="1"/>
    <col min="19" max="19" width="9.26953125" hidden="1" customWidth="1"/>
    <col min="20" max="20" width="4.90625" hidden="1" customWidth="1"/>
    <col min="21" max="21" width="9.26953125" hidden="1" customWidth="1"/>
    <col min="22" max="22" width="4.90625" hidden="1" customWidth="1"/>
    <col min="23" max="23" width="9.26953125" hidden="1" customWidth="1"/>
    <col min="24" max="24" width="4.90625" hidden="1" customWidth="1"/>
    <col min="25" max="25" width="9.26953125" hidden="1" customWidth="1"/>
    <col min="26" max="26" width="4.90625" hidden="1" customWidth="1"/>
    <col min="27" max="27" width="9.26953125" hidden="1" customWidth="1"/>
    <col min="28" max="28" width="4.90625" hidden="1" customWidth="1"/>
    <col min="29" max="29" width="9.26953125" hidden="1" customWidth="1"/>
    <col min="30" max="30" width="4.90625" hidden="1" customWidth="1"/>
    <col min="31" max="31" width="9.26953125" hidden="1" customWidth="1"/>
    <col min="32" max="32" width="4.90625" hidden="1" customWidth="1"/>
    <col min="33" max="33" width="9.26953125" hidden="1" customWidth="1"/>
    <col min="34" max="34" width="4.90625" hidden="1" customWidth="1"/>
    <col min="35" max="35" width="9.26953125" hidden="1" customWidth="1"/>
    <col min="36" max="36" width="4.90625" hidden="1" customWidth="1"/>
    <col min="37" max="37" width="9.26953125" hidden="1" customWidth="1"/>
    <col min="38" max="38" width="4.90625" hidden="1" customWidth="1"/>
    <col min="39" max="39" width="9.26953125" hidden="1" customWidth="1"/>
    <col min="40" max="40" width="4.90625" hidden="1" customWidth="1"/>
    <col min="41" max="41" width="9.26953125" hidden="1" customWidth="1"/>
    <col min="42" max="42" width="4.90625" hidden="1" customWidth="1"/>
    <col min="43" max="43" width="9.26953125" hidden="1" customWidth="1"/>
    <col min="44" max="44" width="4.90625" hidden="1" customWidth="1"/>
    <col min="45" max="45" width="9.26953125" hidden="1" customWidth="1"/>
    <col min="46" max="46" width="4.90625" hidden="1" customWidth="1"/>
    <col min="47" max="47" width="10.54296875" hidden="1" customWidth="1"/>
    <col min="48" max="48" width="4.81640625" hidden="1" customWidth="1"/>
    <col min="49" max="49" width="10.6328125" hidden="1" customWidth="1"/>
    <col min="50" max="50" width="5.453125" hidden="1" customWidth="1"/>
    <col min="51" max="51" width="9.6328125" hidden="1" customWidth="1"/>
    <col min="52" max="52" width="5.453125" hidden="1" customWidth="1"/>
    <col min="53" max="53" width="9.6328125" hidden="1" customWidth="1"/>
    <col min="54" max="54" width="5.453125" hidden="1" customWidth="1"/>
    <col min="55" max="55" width="9.6328125" hidden="1" customWidth="1"/>
    <col min="56" max="56" width="5.453125" hidden="1" customWidth="1"/>
    <col min="57" max="57" width="10.6328125" hidden="1" customWidth="1"/>
    <col min="58" max="58" width="5.453125" hidden="1" customWidth="1"/>
    <col min="59" max="59" width="9.6328125" hidden="1" customWidth="1"/>
    <col min="60" max="60" width="5.453125" hidden="1" customWidth="1"/>
    <col min="61" max="61" width="11.08984375" hidden="1" customWidth="1"/>
    <col min="62" max="62" width="5.453125" hidden="1" customWidth="1"/>
    <col min="63" max="63" width="10.6328125" customWidth="1"/>
    <col min="64" max="64" width="5.26953125" customWidth="1"/>
    <col min="65" max="65" width="10" hidden="1" customWidth="1"/>
    <col min="66" max="66" width="5.453125" hidden="1" customWidth="1"/>
    <col min="67" max="67" width="10" hidden="1" customWidth="1"/>
    <col min="68" max="68" width="5.453125" hidden="1" customWidth="1"/>
    <col min="69" max="69" width="10" hidden="1" customWidth="1"/>
    <col min="70" max="70" width="5.453125" hidden="1" customWidth="1"/>
    <col min="71" max="71" width="10.6328125" bestFit="1" customWidth="1"/>
    <col min="72" max="72" width="5.26953125" customWidth="1"/>
    <col min="73" max="73" width="9.6328125" hidden="1" customWidth="1"/>
    <col min="74" max="74" width="5.453125" hidden="1" customWidth="1"/>
    <col min="75" max="75" width="10" hidden="1" customWidth="1"/>
    <col min="76" max="76" width="5.453125" hidden="1" customWidth="1"/>
    <col min="77" max="77" width="10" hidden="1" customWidth="1"/>
    <col min="78" max="78" width="5.453125" hidden="1" customWidth="1"/>
    <col min="79" max="79" width="11.1796875" bestFit="1" customWidth="1"/>
    <col min="80" max="80" width="5.26953125" customWidth="1"/>
    <col min="81" max="81" width="10" hidden="1" customWidth="1"/>
    <col min="82" max="82" width="5.453125" hidden="1" customWidth="1"/>
    <col min="83" max="83" width="10" hidden="1" customWidth="1"/>
    <col min="84" max="84" width="5.453125" hidden="1" customWidth="1"/>
    <col min="85" max="85" width="11.6328125" hidden="1" customWidth="1"/>
    <col min="86" max="86" width="5.453125" hidden="1" customWidth="1"/>
    <col min="87" max="87" width="11.6328125" bestFit="1" customWidth="1"/>
    <col min="88" max="88" width="5.26953125" customWidth="1"/>
    <col min="89" max="89" width="11.6328125" bestFit="1" customWidth="1"/>
    <col min="90" max="90" width="5.26953125" customWidth="1"/>
    <col min="91" max="91" width="11.6328125" bestFit="1" customWidth="1"/>
    <col min="92" max="92" width="5.26953125" customWidth="1"/>
  </cols>
  <sheetData>
    <row r="1" spans="1:92" ht="6.75" customHeight="1" thickBot="1" x14ac:dyDescent="0.45"/>
    <row r="2" spans="1:92" ht="17.5" thickTop="1" x14ac:dyDescent="0.3">
      <c r="A2" s="48" t="s">
        <v>111</v>
      </c>
      <c r="B2" s="49" t="s">
        <v>15</v>
      </c>
      <c r="C2" s="50" t="s">
        <v>48</v>
      </c>
      <c r="D2" s="49"/>
      <c r="E2" s="50" t="s">
        <v>49</v>
      </c>
      <c r="F2" s="49"/>
      <c r="G2" s="50" t="s">
        <v>50</v>
      </c>
      <c r="H2" s="49"/>
      <c r="I2" s="50" t="s">
        <v>51</v>
      </c>
      <c r="J2" s="49"/>
      <c r="K2" s="50" t="s">
        <v>52</v>
      </c>
      <c r="L2" s="49"/>
      <c r="M2" s="50" t="s">
        <v>53</v>
      </c>
      <c r="N2" s="49"/>
      <c r="O2" s="50" t="s">
        <v>54</v>
      </c>
      <c r="P2" s="49"/>
      <c r="Q2" s="50" t="s">
        <v>55</v>
      </c>
      <c r="R2" s="49"/>
      <c r="S2" s="50" t="s">
        <v>56</v>
      </c>
      <c r="T2" s="49"/>
      <c r="U2" s="50" t="s">
        <v>57</v>
      </c>
      <c r="V2" s="49"/>
      <c r="W2" s="50" t="s">
        <v>58</v>
      </c>
      <c r="X2" s="49"/>
      <c r="Y2" s="50" t="s">
        <v>59</v>
      </c>
      <c r="Z2" s="49"/>
      <c r="AA2" s="50" t="s">
        <v>60</v>
      </c>
      <c r="AB2" s="49"/>
      <c r="AC2" s="50" t="s">
        <v>68</v>
      </c>
      <c r="AD2" s="49"/>
      <c r="AE2" s="50" t="s">
        <v>69</v>
      </c>
      <c r="AF2" s="49"/>
      <c r="AG2" s="50" t="s">
        <v>70</v>
      </c>
      <c r="AH2" s="49"/>
      <c r="AI2" s="50" t="s">
        <v>71</v>
      </c>
      <c r="AJ2" s="49"/>
      <c r="AK2" s="50" t="s">
        <v>72</v>
      </c>
      <c r="AL2" s="49"/>
      <c r="AM2" s="50" t="s">
        <v>73</v>
      </c>
      <c r="AN2" s="49"/>
      <c r="AO2" s="50" t="s">
        <v>74</v>
      </c>
      <c r="AP2" s="49"/>
      <c r="AQ2" s="50" t="s">
        <v>77</v>
      </c>
      <c r="AR2" s="49"/>
      <c r="AS2" s="51" t="s">
        <v>79</v>
      </c>
      <c r="AT2" s="52"/>
      <c r="AU2" s="51" t="s">
        <v>80</v>
      </c>
      <c r="AV2" s="52"/>
      <c r="AW2" s="51">
        <v>43465</v>
      </c>
      <c r="AX2" s="52"/>
      <c r="AY2" s="51">
        <v>43555</v>
      </c>
      <c r="AZ2" s="52"/>
      <c r="BA2" s="51">
        <v>43646</v>
      </c>
      <c r="BB2" s="52"/>
      <c r="BC2" s="51">
        <v>43738</v>
      </c>
      <c r="BD2" s="52"/>
      <c r="BE2" s="51">
        <v>43830</v>
      </c>
      <c r="BF2" s="52"/>
      <c r="BG2" s="51">
        <v>43921</v>
      </c>
      <c r="BH2" s="52"/>
      <c r="BI2" s="51">
        <v>44104</v>
      </c>
      <c r="BJ2" s="52"/>
      <c r="BK2" s="51">
        <v>44196</v>
      </c>
      <c r="BL2" s="51"/>
      <c r="BM2" s="51">
        <v>44286</v>
      </c>
      <c r="BN2" s="52"/>
      <c r="BO2" s="51">
        <v>44377</v>
      </c>
      <c r="BP2" s="52"/>
      <c r="BQ2" s="51">
        <v>44469</v>
      </c>
      <c r="BR2" s="52"/>
      <c r="BS2" s="51">
        <v>44561</v>
      </c>
      <c r="BT2" s="51"/>
      <c r="BU2" s="51">
        <v>44651</v>
      </c>
      <c r="BV2" s="52"/>
      <c r="BW2" s="51">
        <v>44742</v>
      </c>
      <c r="BX2" s="52"/>
      <c r="BY2" s="51">
        <v>44834</v>
      </c>
      <c r="BZ2" s="52"/>
      <c r="CA2" s="51">
        <v>44926</v>
      </c>
      <c r="CB2" s="51"/>
      <c r="CC2" s="51">
        <v>45016</v>
      </c>
      <c r="CD2" s="52"/>
      <c r="CE2" s="51">
        <v>45107</v>
      </c>
      <c r="CF2" s="52"/>
      <c r="CG2" s="45">
        <v>45199</v>
      </c>
      <c r="CH2" s="46"/>
      <c r="CI2" s="51">
        <v>45291</v>
      </c>
      <c r="CJ2" s="51"/>
      <c r="CK2" s="51">
        <v>45657</v>
      </c>
      <c r="CL2" s="51"/>
      <c r="CM2" s="51">
        <v>46022</v>
      </c>
      <c r="CN2" s="51"/>
    </row>
    <row r="3" spans="1:92" s="15" customFormat="1" x14ac:dyDescent="0.3">
      <c r="A3" s="12" t="s">
        <v>128</v>
      </c>
      <c r="B3" s="13" t="s">
        <v>16</v>
      </c>
      <c r="C3" s="13">
        <v>48820.326000000001</v>
      </c>
      <c r="D3" s="14">
        <v>0.17575540442819734</v>
      </c>
      <c r="E3" s="13">
        <v>55330.671000000002</v>
      </c>
      <c r="F3" s="14">
        <v>0.20478791901392984</v>
      </c>
      <c r="G3" s="13">
        <v>71630.695999999996</v>
      </c>
      <c r="H3" s="14">
        <v>0.24971362173280981</v>
      </c>
      <c r="I3" s="13">
        <v>70113.388000000006</v>
      </c>
      <c r="J3" s="14">
        <v>0.2591591936556164</v>
      </c>
      <c r="K3" s="13">
        <v>69683.663</v>
      </c>
      <c r="L3" s="14">
        <v>0.28128543609557072</v>
      </c>
      <c r="M3" s="13">
        <v>66079.766000000003</v>
      </c>
      <c r="N3" s="14">
        <v>0.2477926891823071</v>
      </c>
      <c r="O3" s="13">
        <v>59342.981999999996</v>
      </c>
      <c r="P3" s="14">
        <v>0.200739174886476</v>
      </c>
      <c r="Q3" s="13">
        <v>55891.125999999997</v>
      </c>
      <c r="R3" s="14">
        <v>0.18657121996856804</v>
      </c>
      <c r="S3" s="13">
        <v>50501.305</v>
      </c>
      <c r="T3" s="14">
        <v>0.18566932979214329</v>
      </c>
      <c r="U3" s="13">
        <v>58041.129000000001</v>
      </c>
      <c r="V3" s="14">
        <v>0.22101840657960067</v>
      </c>
      <c r="W3" s="13">
        <v>53749.204000000005</v>
      </c>
      <c r="X3" s="14">
        <v>0.18803243001892542</v>
      </c>
      <c r="Y3" s="13">
        <v>58778.355000000003</v>
      </c>
      <c r="Z3" s="14">
        <v>0.20241522838207882</v>
      </c>
      <c r="AA3" s="13">
        <v>53963.241000000002</v>
      </c>
      <c r="AB3" s="14">
        <v>0.21460005761641623</v>
      </c>
      <c r="AC3" s="13">
        <v>58796.171000000002</v>
      </c>
      <c r="AD3" s="14">
        <v>0.22130805212491833</v>
      </c>
      <c r="AE3" s="13">
        <v>71479.483000000007</v>
      </c>
      <c r="AF3" s="14">
        <v>0.24273297203235802</v>
      </c>
      <c r="AG3" s="13">
        <v>58573.625</v>
      </c>
      <c r="AH3" s="14">
        <v>0.2071528687687193</v>
      </c>
      <c r="AI3" s="13">
        <v>55557.447</v>
      </c>
      <c r="AJ3" s="14">
        <v>0.21263925166833894</v>
      </c>
      <c r="AK3" s="13">
        <v>51601.474000000002</v>
      </c>
      <c r="AL3" s="14">
        <v>0.18739076855627113</v>
      </c>
      <c r="AM3" s="13">
        <v>60398.373</v>
      </c>
      <c r="AN3" s="14">
        <v>0.18159255792004056</v>
      </c>
      <c r="AO3" s="13">
        <v>66504.322999999989</v>
      </c>
      <c r="AP3" s="14">
        <v>0.20359294182969762</v>
      </c>
      <c r="AQ3" s="13">
        <v>51297.853999999999</v>
      </c>
      <c r="AR3" s="14">
        <f>AQ3/$AQ$12</f>
        <v>0.16598436150936405</v>
      </c>
      <c r="AS3" s="13">
        <v>36458.841</v>
      </c>
      <c r="AT3" s="14">
        <v>0.1202615088166594</v>
      </c>
      <c r="AU3" s="13">
        <v>43671.985999999997</v>
      </c>
      <c r="AV3" s="14">
        <v>0.12365726198598484</v>
      </c>
      <c r="AW3" s="13">
        <v>43529.023000000001</v>
      </c>
      <c r="AX3" s="30">
        <v>0.12836535670659535</v>
      </c>
      <c r="AY3" s="13">
        <f>49442+186</f>
        <v>49628</v>
      </c>
      <c r="AZ3" s="14">
        <f>AY3/$AY$12</f>
        <v>0.15016218048024788</v>
      </c>
      <c r="BA3" s="13">
        <v>49489</v>
      </c>
      <c r="BB3" s="14">
        <f>BA3/$BA$12</f>
        <v>0.15050758179396254</v>
      </c>
      <c r="BC3" s="13">
        <v>42568</v>
      </c>
      <c r="BD3" s="14">
        <f>BC3/$BC$12</f>
        <v>0.12276952450170305</v>
      </c>
      <c r="BE3" s="13">
        <v>47412</v>
      </c>
      <c r="BF3" s="14">
        <v>0.13775510204081631</v>
      </c>
      <c r="BG3" s="13">
        <v>58846</v>
      </c>
      <c r="BH3" s="14">
        <v>0.18166719148436969</v>
      </c>
      <c r="BI3" s="13">
        <v>45137</v>
      </c>
      <c r="BJ3" s="14">
        <v>0.12349451980585394</v>
      </c>
      <c r="BK3" s="13">
        <v>66204</v>
      </c>
      <c r="BL3" s="14">
        <f>BK3/BK$12</f>
        <v>0.15438573580646514</v>
      </c>
      <c r="BM3" s="13">
        <v>59275</v>
      </c>
      <c r="BN3" s="14">
        <f ca="1">BM3/$BN$12</f>
        <v>0.15442350728284968</v>
      </c>
      <c r="BO3" s="13">
        <v>51908</v>
      </c>
      <c r="BP3" s="14">
        <f>BO3/$BO$12</f>
        <v>0.12864372419467562</v>
      </c>
      <c r="BQ3" s="13">
        <v>69050</v>
      </c>
      <c r="BR3" s="14">
        <v>0.15024326135582305</v>
      </c>
      <c r="BS3" s="13">
        <v>70154</v>
      </c>
      <c r="BT3" s="14">
        <f>BS3/BS$12</f>
        <v>0.1410703441397311</v>
      </c>
      <c r="BU3" s="13">
        <v>68539</v>
      </c>
      <c r="BV3" s="14">
        <f>BU3/$BU$12</f>
        <v>0.14070509596375363</v>
      </c>
      <c r="BW3" s="13">
        <v>61506</v>
      </c>
      <c r="BX3" s="14">
        <f>BW3/$BW$12</f>
        <v>0.12850400412844132</v>
      </c>
      <c r="BY3" s="13">
        <v>70392</v>
      </c>
      <c r="BZ3" s="14">
        <f>BY3/$BY$12</f>
        <v>0.14800672834314549</v>
      </c>
      <c r="CA3" s="13">
        <v>66337</v>
      </c>
      <c r="CB3" s="14">
        <f>CA3/CA$12</f>
        <v>0.15323579143836566</v>
      </c>
      <c r="CC3" s="13">
        <v>60149</v>
      </c>
      <c r="CD3" s="14">
        <v>0.1389417612980125</v>
      </c>
      <c r="CE3" s="13">
        <v>61765</v>
      </c>
      <c r="CF3" s="14">
        <f>CE3/$CE$12</f>
        <v>0.13832403185495068</v>
      </c>
      <c r="CG3" s="13">
        <v>57014</v>
      </c>
      <c r="CH3" s="14">
        <f ca="1">CG3/$CH$12</f>
        <v>0.1225324900010101</v>
      </c>
      <c r="CI3" s="13">
        <v>75232</v>
      </c>
      <c r="CJ3" s="14">
        <f>CI3/CI$12</f>
        <v>0.16629862220954883</v>
      </c>
      <c r="CK3" s="13">
        <v>79880</v>
      </c>
      <c r="CL3" s="14">
        <f>CK3/CK$12</f>
        <v>0.13542632675585453</v>
      </c>
      <c r="CM3" s="13">
        <v>144474</v>
      </c>
      <c r="CN3" s="14">
        <f>CM3/CM$12</f>
        <v>0.13161207805955219</v>
      </c>
    </row>
    <row r="4" spans="1:92" s="15" customFormat="1" x14ac:dyDescent="0.3">
      <c r="A4" s="12" t="s">
        <v>129</v>
      </c>
      <c r="B4" s="13" t="s">
        <v>17</v>
      </c>
      <c r="C4" s="13">
        <v>113181.64700000001</v>
      </c>
      <c r="D4" s="14">
        <v>0.40745910099687721</v>
      </c>
      <c r="E4" s="13">
        <v>91989.891000000003</v>
      </c>
      <c r="F4" s="14">
        <v>0.34046972515855145</v>
      </c>
      <c r="G4" s="13">
        <v>93288.142999999996</v>
      </c>
      <c r="H4" s="14">
        <v>0.32521420779240046</v>
      </c>
      <c r="I4" s="13">
        <v>86064.311000000002</v>
      </c>
      <c r="J4" s="14">
        <v>0.31811838049084429</v>
      </c>
      <c r="K4" s="13">
        <v>66614.884999999995</v>
      </c>
      <c r="L4" s="14">
        <v>0.26889799087744987</v>
      </c>
      <c r="M4" s="13">
        <v>76783.08</v>
      </c>
      <c r="N4" s="14">
        <v>0.28792907464139961</v>
      </c>
      <c r="O4" s="13">
        <v>98599.907000000007</v>
      </c>
      <c r="P4" s="14">
        <v>0.33353335656545324</v>
      </c>
      <c r="Q4" s="13">
        <v>100435.644</v>
      </c>
      <c r="R4" s="14">
        <v>0.33526611414858226</v>
      </c>
      <c r="S4" s="13">
        <v>84896.803</v>
      </c>
      <c r="T4" s="14">
        <v>0.31212525130797353</v>
      </c>
      <c r="U4" s="13">
        <v>75191.176000000007</v>
      </c>
      <c r="V4" s="14">
        <v>0.28632513175900337</v>
      </c>
      <c r="W4" s="13">
        <v>82521.039999999994</v>
      </c>
      <c r="X4" s="14">
        <v>0.28868579484244905</v>
      </c>
      <c r="Y4" s="13">
        <v>91460.725999999995</v>
      </c>
      <c r="Z4" s="14">
        <v>0.31496362464177047</v>
      </c>
      <c r="AA4" s="13">
        <v>60791.23</v>
      </c>
      <c r="AB4" s="14">
        <v>0.24175348290464635</v>
      </c>
      <c r="AC4" s="13">
        <v>74421.305999999997</v>
      </c>
      <c r="AD4" s="14">
        <v>0.28012086480006487</v>
      </c>
      <c r="AE4" s="13">
        <v>82927.771000000008</v>
      </c>
      <c r="AF4" s="14">
        <v>0.28160953988501553</v>
      </c>
      <c r="AG4" s="13">
        <v>89733.251000000004</v>
      </c>
      <c r="AH4" s="14">
        <v>0.31735273971166289</v>
      </c>
      <c r="AI4" s="13">
        <v>64039.467000000004</v>
      </c>
      <c r="AJ4" s="14">
        <v>0.24510313334086944</v>
      </c>
      <c r="AK4" s="13">
        <v>82894.983999999997</v>
      </c>
      <c r="AL4" s="14">
        <v>0.30103315965779964</v>
      </c>
      <c r="AM4" s="13">
        <v>102195.67099999999</v>
      </c>
      <c r="AN4" s="14">
        <v>0.30725949033833916</v>
      </c>
      <c r="AO4" s="13">
        <v>94651.751000000004</v>
      </c>
      <c r="AP4" s="14">
        <v>0.2897620420167577</v>
      </c>
      <c r="AQ4" s="13">
        <v>88278.06</v>
      </c>
      <c r="AR4" s="14">
        <f t="shared" ref="AR4:AR25" si="0">AQ4/$AQ$12</f>
        <v>0.2856411386017304</v>
      </c>
      <c r="AS4" s="13">
        <v>98522.055000000008</v>
      </c>
      <c r="AT4" s="14">
        <v>0.32498046183140877</v>
      </c>
      <c r="AU4" s="13">
        <v>116872.372</v>
      </c>
      <c r="AV4" s="14">
        <v>0.33092421130853722</v>
      </c>
      <c r="AW4" s="13">
        <f>118293.955+58.988</f>
        <v>118352.943</v>
      </c>
      <c r="AX4" s="30">
        <v>0.3490181193699281</v>
      </c>
      <c r="AY4" s="13">
        <f>97955.967+198.348</f>
        <v>98154.315000000002</v>
      </c>
      <c r="AZ4" s="14">
        <f t="shared" ref="AZ4:AZ7" si="1">AY4/$AY$12</f>
        <v>0.29699093181158015</v>
      </c>
      <c r="BA4" s="13">
        <f>107848+440</f>
        <v>108288</v>
      </c>
      <c r="BB4" s="14">
        <f t="shared" ref="BB4:BB25" si="2">BA4/$BA$12</f>
        <v>0.32932904316726175</v>
      </c>
      <c r="BC4" s="13">
        <v>135451</v>
      </c>
      <c r="BD4" s="14">
        <f t="shared" ref="BD4:BD25" si="3">BC4/$BC$12</f>
        <v>0.39065154255027673</v>
      </c>
      <c r="BE4" s="13">
        <v>131884</v>
      </c>
      <c r="BF4" s="14">
        <v>0.38318767142392263</v>
      </c>
      <c r="BG4" s="13">
        <f>86891+210</f>
        <v>87101</v>
      </c>
      <c r="BH4" s="14">
        <v>0.26889498089046127</v>
      </c>
      <c r="BI4" s="13">
        <v>119681</v>
      </c>
      <c r="BJ4" s="14">
        <v>0.32744638821553057</v>
      </c>
      <c r="BK4" s="13">
        <f>127227+306</f>
        <v>127533</v>
      </c>
      <c r="BL4" s="14">
        <f>BK4/BK$12</f>
        <v>0.29740311831016131</v>
      </c>
      <c r="BM4" s="13">
        <v>119794</v>
      </c>
      <c r="BN4" s="14">
        <f t="shared" ref="BN4:BN25" ca="1" si="4">BM4/$BN$12</f>
        <v>0.31208788918501384</v>
      </c>
      <c r="BO4" s="13">
        <v>140524</v>
      </c>
      <c r="BP4" s="14">
        <f t="shared" ref="BP4:BP25" si="5">BO4/$BO$12</f>
        <v>0.34826097516245275</v>
      </c>
      <c r="BQ4" s="13">
        <v>148530</v>
      </c>
      <c r="BR4" s="14">
        <v>0.3231807618997885</v>
      </c>
      <c r="BS4" s="13">
        <v>161179</v>
      </c>
      <c r="BT4" s="14">
        <f>BS4/BS$12</f>
        <v>0.3241094876713761</v>
      </c>
      <c r="BU4" s="13">
        <v>131713</v>
      </c>
      <c r="BV4" s="14">
        <f t="shared" ref="BV4:BV25" si="6">BU4/$BU$12</f>
        <v>0.27039627518163212</v>
      </c>
      <c r="BW4" s="13">
        <v>123065</v>
      </c>
      <c r="BX4" s="14">
        <f t="shared" ref="BX4:BX25" si="7">BW4/$BW$12</f>
        <v>0.25711874074182406</v>
      </c>
      <c r="BY4" s="13">
        <v>102450</v>
      </c>
      <c r="BZ4" s="14">
        <f t="shared" ref="BZ4:BZ7" si="8">BY4/$BY$12</f>
        <v>0.21541211101766189</v>
      </c>
      <c r="CA4" s="13">
        <v>100234</v>
      </c>
      <c r="CB4" s="14">
        <f>CA4/CA$12</f>
        <v>0.23153649274210686</v>
      </c>
      <c r="CC4" s="13">
        <v>102790</v>
      </c>
      <c r="CD4" s="14">
        <v>0.2374407495356981</v>
      </c>
      <c r="CE4" s="13">
        <v>126166</v>
      </c>
      <c r="CF4" s="14">
        <f t="shared" ref="CF4:CF7" si="9">CE4/$CE$12</f>
        <v>0.28255144180380004</v>
      </c>
      <c r="CG4" s="13">
        <v>143702</v>
      </c>
      <c r="CH4" s="14">
        <f t="shared" ref="CH4:CH7" ca="1" si="10">CG4/$CH$12</f>
        <v>0.30883930048979469</v>
      </c>
      <c r="CI4" s="13">
        <v>121342</v>
      </c>
      <c r="CJ4" s="14">
        <f>CI4/CI$12</f>
        <v>0.26822372682038326</v>
      </c>
      <c r="CK4" s="13">
        <v>190486</v>
      </c>
      <c r="CL4" s="14">
        <f>CK4/CK$12</f>
        <v>0.32294465796714705</v>
      </c>
      <c r="CM4" s="13">
        <v>422916</v>
      </c>
      <c r="CN4" s="14">
        <f>CM4/CM$12</f>
        <v>0.38526553985238576</v>
      </c>
    </row>
    <row r="5" spans="1:92" s="15" customFormat="1" x14ac:dyDescent="0.3">
      <c r="A5" s="12" t="s">
        <v>130</v>
      </c>
      <c r="B5" s="13" t="s">
        <v>18</v>
      </c>
      <c r="C5" s="13">
        <v>53906.328000000001</v>
      </c>
      <c r="D5" s="14">
        <v>0.19406524403132946</v>
      </c>
      <c r="E5" s="13">
        <v>59810.296999999999</v>
      </c>
      <c r="F5" s="14">
        <v>0.22136775204181222</v>
      </c>
      <c r="G5" s="13">
        <v>57408.457999999999</v>
      </c>
      <c r="H5" s="14">
        <v>0.20013311004650716</v>
      </c>
      <c r="I5" s="13">
        <v>49985.440999999999</v>
      </c>
      <c r="J5" s="14">
        <v>0.18476052796194056</v>
      </c>
      <c r="K5" s="13">
        <v>45304.921000000002</v>
      </c>
      <c r="L5" s="14">
        <v>0.18287807948271004</v>
      </c>
      <c r="M5" s="13">
        <v>58135.815999999999</v>
      </c>
      <c r="N5" s="14">
        <v>0.21800365008023476</v>
      </c>
      <c r="O5" s="13">
        <v>71199.160999999993</v>
      </c>
      <c r="P5" s="14">
        <v>0.24084500559391103</v>
      </c>
      <c r="Q5" s="13">
        <v>73763.982999999993</v>
      </c>
      <c r="R5" s="14">
        <v>0.24623294041438196</v>
      </c>
      <c r="S5" s="13">
        <v>68693.921000000002</v>
      </c>
      <c r="T5" s="14">
        <v>0.25255494432994235</v>
      </c>
      <c r="U5" s="13">
        <v>60570.78</v>
      </c>
      <c r="V5" s="14">
        <v>0.23065122115187567</v>
      </c>
      <c r="W5" s="13">
        <v>76039.12</v>
      </c>
      <c r="X5" s="14">
        <v>0.26600990239968336</v>
      </c>
      <c r="Y5" s="13">
        <v>67610.876999999993</v>
      </c>
      <c r="Z5" s="14">
        <v>0.23283181553937052</v>
      </c>
      <c r="AA5" s="13">
        <v>63909.616999999998</v>
      </c>
      <c r="AB5" s="14">
        <v>0.25415462889716156</v>
      </c>
      <c r="AC5" s="13">
        <v>62658.940999999999</v>
      </c>
      <c r="AD5" s="14">
        <v>0.23584747008304641</v>
      </c>
      <c r="AE5" s="13">
        <v>72688.505000000005</v>
      </c>
      <c r="AF5" s="14">
        <v>0.24683861872978174</v>
      </c>
      <c r="AG5" s="13">
        <v>65216.279000000002</v>
      </c>
      <c r="AH5" s="14">
        <v>0.23064543615443273</v>
      </c>
      <c r="AI5" s="13">
        <v>73502.774999999994</v>
      </c>
      <c r="AJ5" s="14">
        <v>0.28132277337269096</v>
      </c>
      <c r="AK5" s="13">
        <v>71200.032000000007</v>
      </c>
      <c r="AL5" s="14">
        <v>0.25856293790582607</v>
      </c>
      <c r="AM5" s="13">
        <v>94332.429000000004</v>
      </c>
      <c r="AN5" s="14">
        <v>0.28361802191129576</v>
      </c>
      <c r="AO5" s="13">
        <v>92240.622000000003</v>
      </c>
      <c r="AP5" s="14">
        <v>0.2823807346957149</v>
      </c>
      <c r="AQ5" s="13">
        <v>94618.538</v>
      </c>
      <c r="AR5" s="14">
        <f t="shared" si="0"/>
        <v>0.30615701032794668</v>
      </c>
      <c r="AS5" s="13">
        <v>87866.278000000006</v>
      </c>
      <c r="AT5" s="14">
        <v>0.28983179049449337</v>
      </c>
      <c r="AU5" s="13">
        <v>110403.68799999999</v>
      </c>
      <c r="AV5" s="14">
        <v>0.31260812758171636</v>
      </c>
      <c r="AW5" s="13">
        <v>89614.023000000001</v>
      </c>
      <c r="AX5" s="30">
        <v>0.26426818787795991</v>
      </c>
      <c r="AY5" s="13">
        <f>94465</f>
        <v>94465</v>
      </c>
      <c r="AZ5" s="14">
        <f t="shared" si="1"/>
        <v>0.2858279676607281</v>
      </c>
      <c r="BA5" s="13">
        <v>80197</v>
      </c>
      <c r="BB5" s="14">
        <f t="shared" si="2"/>
        <v>0.24389776591021065</v>
      </c>
      <c r="BC5" s="13">
        <v>89471</v>
      </c>
      <c r="BD5" s="14">
        <f t="shared" si="3"/>
        <v>0.25804153652254919</v>
      </c>
      <c r="BE5" s="13">
        <v>85570</v>
      </c>
      <c r="BF5" s="14">
        <v>0.24862279763841755</v>
      </c>
      <c r="BG5" s="13">
        <v>101347</v>
      </c>
      <c r="BH5" s="14">
        <v>0.31287470440414666</v>
      </c>
      <c r="BI5" s="13">
        <v>108706</v>
      </c>
      <c r="BJ5" s="14">
        <v>0.29741886412511148</v>
      </c>
      <c r="BK5" s="13">
        <v>95054</v>
      </c>
      <c r="BL5" s="14">
        <f>BK5/BK$12</f>
        <v>0.22166306765977492</v>
      </c>
      <c r="BM5" s="13">
        <v>111483</v>
      </c>
      <c r="BN5" s="14">
        <f t="shared" ca="1" si="4"/>
        <v>0.29043603310694105</v>
      </c>
      <c r="BO5" s="13">
        <v>114556</v>
      </c>
      <c r="BP5" s="14">
        <f t="shared" si="5"/>
        <v>0.28390441683064765</v>
      </c>
      <c r="BQ5" s="13">
        <v>143301</v>
      </c>
      <c r="BR5" s="14">
        <v>0.31180318023969295</v>
      </c>
      <c r="BS5" s="13">
        <v>161378</v>
      </c>
      <c r="BT5" s="14">
        <f>BS5/BS$12</f>
        <v>0.32450965014940741</v>
      </c>
      <c r="BU5" s="13">
        <v>181718</v>
      </c>
      <c r="BV5" s="14">
        <f t="shared" si="6"/>
        <v>0.37305254859775289</v>
      </c>
      <c r="BW5" s="13">
        <v>186741</v>
      </c>
      <c r="BX5" s="14">
        <f t="shared" si="7"/>
        <v>0.39015650887635778</v>
      </c>
      <c r="BY5" s="13">
        <v>189360</v>
      </c>
      <c r="BZ5" s="14">
        <f t="shared" si="8"/>
        <v>0.39814970563498736</v>
      </c>
      <c r="CA5" s="13">
        <v>156889</v>
      </c>
      <c r="CB5" s="14">
        <f>CA5/CA$12</f>
        <v>0.36240725512118049</v>
      </c>
      <c r="CC5" s="13">
        <v>147874</v>
      </c>
      <c r="CD5" s="14">
        <v>0.3415829691296996</v>
      </c>
      <c r="CE5" s="13">
        <v>139237</v>
      </c>
      <c r="CF5" s="14">
        <f t="shared" si="9"/>
        <v>0.31182422445378077</v>
      </c>
      <c r="CG5" s="13">
        <v>133647</v>
      </c>
      <c r="CH5" s="14">
        <f t="shared" ca="1" si="10"/>
        <v>0.28722944699836878</v>
      </c>
      <c r="CI5" s="13">
        <v>119720</v>
      </c>
      <c r="CJ5" s="14">
        <f>CI5/CI$12</f>
        <v>0.26463833276966164</v>
      </c>
      <c r="CK5" s="13">
        <v>190697</v>
      </c>
      <c r="CL5" s="14">
        <f>CK5/CK$12</f>
        <v>0.32330238148924878</v>
      </c>
      <c r="CM5" s="13">
        <v>355474</v>
      </c>
      <c r="CN5" s="14">
        <f>CM5/CM$12</f>
        <v>0.32382762182912678</v>
      </c>
    </row>
    <row r="6" spans="1:92" s="15" customFormat="1" x14ac:dyDescent="0.3">
      <c r="A6" s="12" t="s">
        <v>131</v>
      </c>
      <c r="B6" s="13" t="s">
        <v>19</v>
      </c>
      <c r="C6" s="13">
        <v>6343.1849999999904</v>
      </c>
      <c r="D6" s="14">
        <v>2.2835755849681817E-2</v>
      </c>
      <c r="E6" s="13">
        <v>9341.1909999999843</v>
      </c>
      <c r="F6" s="14">
        <v>3.4573285149598981E-2</v>
      </c>
      <c r="G6" s="13">
        <v>9537.2770000000019</v>
      </c>
      <c r="H6" s="14">
        <v>3.3248147988664351E-2</v>
      </c>
      <c r="I6" s="13">
        <v>10143.281999999985</v>
      </c>
      <c r="J6" s="14">
        <v>3.7492479812008574E-2</v>
      </c>
      <c r="K6" s="13">
        <v>9628.3480000000127</v>
      </c>
      <c r="L6" s="14">
        <v>3.8865839559265411E-2</v>
      </c>
      <c r="M6" s="13">
        <v>10433.177000000003</v>
      </c>
      <c r="N6" s="14">
        <v>3.9123398008779203E-2</v>
      </c>
      <c r="O6" s="13">
        <v>10665.275000000023</v>
      </c>
      <c r="P6" s="14">
        <v>3.6077366375645993E-2</v>
      </c>
      <c r="Q6" s="13">
        <v>11314.85000000002</v>
      </c>
      <c r="R6" s="14">
        <v>3.7770313810842816E-2</v>
      </c>
      <c r="S6" s="13">
        <v>10577.217000000019</v>
      </c>
      <c r="T6" s="14">
        <v>3.8887406799805825E-2</v>
      </c>
      <c r="U6" s="13">
        <v>12550.902999999991</v>
      </c>
      <c r="V6" s="14">
        <v>4.7793360156642158E-2</v>
      </c>
      <c r="W6" s="13">
        <v>15727.998000000007</v>
      </c>
      <c r="X6" s="14">
        <v>5.5021720568602279E-2</v>
      </c>
      <c r="Y6" s="13">
        <v>14240.379000000001</v>
      </c>
      <c r="Z6" s="14">
        <v>4.903964337777672E-2</v>
      </c>
      <c r="AA6" s="13">
        <v>15407.834999999992</v>
      </c>
      <c r="AB6" s="14">
        <v>6.1273604354939185E-2</v>
      </c>
      <c r="AC6" s="13">
        <v>12724.34399999999</v>
      </c>
      <c r="AD6" s="14">
        <v>4.7894271639005018E-2</v>
      </c>
      <c r="AE6" s="13">
        <v>11519.137999999977</v>
      </c>
      <c r="AF6" s="14">
        <v>3.9117163200395093E-2</v>
      </c>
      <c r="AG6" s="13">
        <v>12133.575999999994</v>
      </c>
      <c r="AH6" s="14">
        <v>4.2911892115662646E-2</v>
      </c>
      <c r="AI6" s="13">
        <v>12598.194999999978</v>
      </c>
      <c r="AJ6" s="14">
        <v>4.8218031997975079E-2</v>
      </c>
      <c r="AK6" s="13">
        <v>13502.688000000024</v>
      </c>
      <c r="AL6" s="14">
        <v>4.903501558687149E-2</v>
      </c>
      <c r="AM6" s="13">
        <v>18090.41700000003</v>
      </c>
      <c r="AN6" s="14">
        <v>5.4390291223079666E-2</v>
      </c>
      <c r="AO6" s="13">
        <v>16808.966000000029</v>
      </c>
      <c r="AP6" s="14">
        <v>5.1458111032201194E-2</v>
      </c>
      <c r="AQ6" s="13">
        <v>18487.491999999998</v>
      </c>
      <c r="AR6" s="14">
        <f t="shared" si="0"/>
        <v>5.981994013881118E-2</v>
      </c>
      <c r="AS6" s="13">
        <v>20325.693999999989</v>
      </c>
      <c r="AT6" s="14">
        <v>6.7045428794231809E-2</v>
      </c>
      <c r="AU6" s="13">
        <v>20370.501000000018</v>
      </c>
      <c r="AV6" s="14">
        <v>5.7679089266578547E-2</v>
      </c>
      <c r="AW6" s="13">
        <f>AW7-AW3-AW4-AW5</f>
        <v>23931.154999999984</v>
      </c>
      <c r="AX6" s="14">
        <v>7.0572023819046439E-2</v>
      </c>
      <c r="AY6" s="13">
        <f>AY7-AY3-AY4-AY5</f>
        <v>22989.946999999986</v>
      </c>
      <c r="AZ6" s="14">
        <f t="shared" si="1"/>
        <v>6.9561952338303604E-2</v>
      </c>
      <c r="BA6" s="13">
        <f>BA7-BA3-BA4-BA5</f>
        <v>25545</v>
      </c>
      <c r="BB6" s="14">
        <f t="shared" si="2"/>
        <v>7.7688297943518225E-2</v>
      </c>
      <c r="BC6" s="13">
        <f>BC7-BC3-BC4-BC5</f>
        <v>13983</v>
      </c>
      <c r="BD6" s="14">
        <f t="shared" si="3"/>
        <v>4.0328092959671907E-2</v>
      </c>
      <c r="BE6" s="13">
        <v>13882</v>
      </c>
      <c r="BF6" s="14">
        <v>4.0334015155036956E-2</v>
      </c>
      <c r="BG6" s="13">
        <f>BG7-BG3-BG4-BG5</f>
        <v>12086</v>
      </c>
      <c r="BH6" s="14">
        <v>3.7311451522280055E-2</v>
      </c>
      <c r="BI6" s="13">
        <v>24888</v>
      </c>
      <c r="BJ6" s="14">
        <v>6.8093395859895267E-2</v>
      </c>
      <c r="BK6" s="13">
        <f>BK7-SUM(BK3:BK5)</f>
        <v>73169</v>
      </c>
      <c r="BL6" s="14">
        <f>BK6/BK$12</f>
        <v>0.17062790621749818</v>
      </c>
      <c r="BM6" s="13">
        <f>BM7-SUM(BM3:BM5)</f>
        <v>23804</v>
      </c>
      <c r="BN6" s="14">
        <f t="shared" ca="1" si="4"/>
        <v>6.2014292152862992E-2</v>
      </c>
      <c r="BO6" s="13">
        <f>BO7-SUM(BO3:BO5)</f>
        <v>26201</v>
      </c>
      <c r="BP6" s="14">
        <f t="shared" si="5"/>
        <v>6.4934002805438387E-2</v>
      </c>
      <c r="BQ6" s="13">
        <v>25577</v>
      </c>
      <c r="BR6" s="14">
        <v>5.5652018764632674E-2</v>
      </c>
      <c r="BS6" s="13">
        <f>BS7-SUM(BS3:BS5)</f>
        <v>29076</v>
      </c>
      <c r="BT6" s="14">
        <f>BS6/BS$12</f>
        <v>5.8467960860490088E-2</v>
      </c>
      <c r="BU6" s="13">
        <f>BU7-SUM(BU3:BU5)</f>
        <v>27319</v>
      </c>
      <c r="BV6" s="14">
        <f t="shared" si="6"/>
        <v>5.6083726296470411E-2</v>
      </c>
      <c r="BW6" s="13">
        <f>BW7-SUM(BW3:BW5)</f>
        <v>26667</v>
      </c>
      <c r="BX6" s="14">
        <f t="shared" si="7"/>
        <v>5.5715154262887277E-2</v>
      </c>
      <c r="BY6" s="13">
        <f>BY7-SUM(BY3:BY5)</f>
        <v>28046</v>
      </c>
      <c r="BZ6" s="14">
        <f t="shared" si="8"/>
        <v>5.8969722455845246E-2</v>
      </c>
      <c r="CA6" s="13">
        <f>CA7-SUM(CA3:CA5)</f>
        <v>19526</v>
      </c>
      <c r="CB6" s="14">
        <f>CA6/CA$12</f>
        <v>4.5104271577332829E-2</v>
      </c>
      <c r="CC6" s="13">
        <v>22031</v>
      </c>
      <c r="CD6" s="14">
        <v>5.169193661162183E-2</v>
      </c>
      <c r="CE6" s="13">
        <f>CE7-SUM(CE3:CE5)</f>
        <v>23838</v>
      </c>
      <c r="CF6" s="14">
        <f t="shared" si="9"/>
        <v>5.338570827099999E-2</v>
      </c>
      <c r="CG6" s="13">
        <f>CG7-SUM(CG3:CG5)</f>
        <v>43565</v>
      </c>
      <c r="CH6" s="14">
        <f t="shared" ca="1" si="10"/>
        <v>9.3628370696565849E-2</v>
      </c>
      <c r="CI6" s="13">
        <f>CI7-SUM(CI3:CI5)</f>
        <v>45167</v>
      </c>
      <c r="CJ6" s="14">
        <f>CI6/CI$12</f>
        <v>9.9840624592443264E-2</v>
      </c>
      <c r="CK6" s="13">
        <v>19149</v>
      </c>
      <c r="CL6" s="14">
        <f>CK6/CK$12</f>
        <v>3.2464681159837992E-2</v>
      </c>
      <c r="CM6" s="13">
        <v>21268</v>
      </c>
      <c r="CN6" s="14">
        <f>CM6/CM$12</f>
        <v>1.9374598032660246E-2</v>
      </c>
    </row>
    <row r="7" spans="1:92" s="15" customFormat="1" ht="17.5" thickBot="1" x14ac:dyDescent="0.35">
      <c r="A7" s="16" t="s">
        <v>132</v>
      </c>
      <c r="B7" s="17" t="s">
        <v>20</v>
      </c>
      <c r="C7" s="17">
        <v>222251.486</v>
      </c>
      <c r="D7" s="18">
        <v>0.80011550530608577</v>
      </c>
      <c r="E7" s="17">
        <v>216472.05</v>
      </c>
      <c r="F7" s="18">
        <v>0.8011986813638925</v>
      </c>
      <c r="G7" s="17">
        <v>231864.57399999999</v>
      </c>
      <c r="H7" s="18">
        <v>0.80830908756038178</v>
      </c>
      <c r="I7" s="17">
        <v>216306.42199999999</v>
      </c>
      <c r="J7" s="18">
        <v>0.79953058192040982</v>
      </c>
      <c r="K7" s="17">
        <v>191231.81700000001</v>
      </c>
      <c r="L7" s="18">
        <v>0.77192734601499602</v>
      </c>
      <c r="M7" s="17">
        <v>211431.83900000001</v>
      </c>
      <c r="N7" s="18">
        <v>0.79284881191272072</v>
      </c>
      <c r="O7" s="17">
        <v>239807.32500000001</v>
      </c>
      <c r="P7" s="18">
        <v>0.81119490342148626</v>
      </c>
      <c r="Q7" s="17">
        <v>241405.603</v>
      </c>
      <c r="R7" s="18">
        <v>0.80584058834237504</v>
      </c>
      <c r="S7" s="17">
        <v>214669.24600000001</v>
      </c>
      <c r="T7" s="18">
        <v>0.78923693222986502</v>
      </c>
      <c r="U7" s="17">
        <v>206353.98800000001</v>
      </c>
      <c r="V7" s="18">
        <v>0.78578811964712192</v>
      </c>
      <c r="W7" s="17">
        <v>228037.36199999999</v>
      </c>
      <c r="X7" s="18">
        <v>0.79774984782966007</v>
      </c>
      <c r="Y7" s="17">
        <v>232090.337</v>
      </c>
      <c r="Z7" s="18">
        <v>0.79925031194099649</v>
      </c>
      <c r="AA7" s="17">
        <v>194071.92300000001</v>
      </c>
      <c r="AB7" s="18">
        <v>0.77178177377316337</v>
      </c>
      <c r="AC7" s="17">
        <v>208600.76199999999</v>
      </c>
      <c r="AD7" s="18">
        <v>0.78517065864703461</v>
      </c>
      <c r="AE7" s="17">
        <v>238614.897</v>
      </c>
      <c r="AF7" s="18">
        <v>0.81029829384755037</v>
      </c>
      <c r="AG7" s="17">
        <v>225656.731</v>
      </c>
      <c r="AH7" s="18">
        <v>0.79806293675047757</v>
      </c>
      <c r="AI7" s="17">
        <v>205697.88399999999</v>
      </c>
      <c r="AJ7" s="18">
        <v>0.78728319037987449</v>
      </c>
      <c r="AK7" s="17">
        <v>219199.17800000001</v>
      </c>
      <c r="AL7" s="18">
        <v>0.79602188170676824</v>
      </c>
      <c r="AM7" s="17">
        <v>275016.89</v>
      </c>
      <c r="AN7" s="18">
        <v>0.82686036139275509</v>
      </c>
      <c r="AO7" s="17">
        <v>270205.66200000001</v>
      </c>
      <c r="AP7" s="18">
        <v>0.82719382957437138</v>
      </c>
      <c r="AQ7" s="17">
        <v>252681.94399999999</v>
      </c>
      <c r="AR7" s="18">
        <f t="shared" si="0"/>
        <v>0.8176024505778523</v>
      </c>
      <c r="AS7" s="17">
        <v>243172.86799999999</v>
      </c>
      <c r="AT7" s="18">
        <v>0.80211918993679332</v>
      </c>
      <c r="AU7" s="17">
        <v>291318.54700000002</v>
      </c>
      <c r="AV7" s="18">
        <v>0.82486869014281705</v>
      </c>
      <c r="AW7" s="17">
        <v>275427.14399999997</v>
      </c>
      <c r="AX7" s="18">
        <v>0.81222368777352982</v>
      </c>
      <c r="AY7" s="17">
        <v>265237.26199999999</v>
      </c>
      <c r="AZ7" s="31">
        <f t="shared" si="1"/>
        <v>0.80254303229085977</v>
      </c>
      <c r="BA7" s="17">
        <v>263519</v>
      </c>
      <c r="BB7" s="31">
        <f t="shared" si="2"/>
        <v>0.80142268881495315</v>
      </c>
      <c r="BC7" s="17">
        <v>281473</v>
      </c>
      <c r="BD7" s="31">
        <f t="shared" si="3"/>
        <v>0.81179069653420088</v>
      </c>
      <c r="BE7" s="17">
        <v>278748</v>
      </c>
      <c r="BF7" s="31">
        <v>0.80989958625819347</v>
      </c>
      <c r="BG7" s="17">
        <v>259380</v>
      </c>
      <c r="BH7" s="31">
        <v>0.80074832830125775</v>
      </c>
      <c r="BI7" s="17">
        <v>298412</v>
      </c>
      <c r="BJ7" s="31">
        <v>0.81645316800639123</v>
      </c>
      <c r="BK7" s="17">
        <v>361960</v>
      </c>
      <c r="BL7" s="31">
        <f>BK7/BK$12</f>
        <v>0.84407982799389958</v>
      </c>
      <c r="BM7" s="17">
        <v>314356</v>
      </c>
      <c r="BN7" s="31">
        <f t="shared" ca="1" si="4"/>
        <v>0.81896172172766757</v>
      </c>
      <c r="BO7" s="17">
        <v>333189</v>
      </c>
      <c r="BP7" s="31">
        <f t="shared" si="5"/>
        <v>0.8257431189932144</v>
      </c>
      <c r="BQ7" s="17">
        <v>386458</v>
      </c>
      <c r="BR7" s="31">
        <v>0.84087922225993716</v>
      </c>
      <c r="BS7" s="17">
        <v>421787</v>
      </c>
      <c r="BT7" s="31">
        <f>BS7/BS$12</f>
        <v>0.84815744282100469</v>
      </c>
      <c r="BU7" s="17">
        <v>409289</v>
      </c>
      <c r="BV7" s="31">
        <f t="shared" si="6"/>
        <v>0.84023764603960904</v>
      </c>
      <c r="BW7" s="17">
        <v>397979</v>
      </c>
      <c r="BX7" s="31">
        <f t="shared" si="7"/>
        <v>0.83149440800951047</v>
      </c>
      <c r="BY7" s="17">
        <v>390248</v>
      </c>
      <c r="BZ7" s="31">
        <f t="shared" si="8"/>
        <v>0.82053826745164005</v>
      </c>
      <c r="CA7" s="17">
        <v>342986</v>
      </c>
      <c r="CB7" s="31">
        <f>CA7/CA$12</f>
        <v>0.79228381087898581</v>
      </c>
      <c r="CC7" s="17">
        <v>332844</v>
      </c>
      <c r="CD7" s="31">
        <v>0.78096096180648433</v>
      </c>
      <c r="CE7" s="17">
        <v>351006</v>
      </c>
      <c r="CF7" s="31">
        <f t="shared" si="9"/>
        <v>0.78608540638353142</v>
      </c>
      <c r="CG7" s="17">
        <v>377928</v>
      </c>
      <c r="CH7" s="31">
        <f t="shared" ca="1" si="10"/>
        <v>0.81222960818573942</v>
      </c>
      <c r="CI7" s="17">
        <v>361461</v>
      </c>
      <c r="CJ7" s="31">
        <f>CI7/CI$12</f>
        <v>0.79900130639203693</v>
      </c>
      <c r="CK7" s="17">
        <v>480212</v>
      </c>
      <c r="CL7" s="31">
        <f>CK7/CK$12</f>
        <v>0.81413804737208839</v>
      </c>
      <c r="CM7" s="17">
        <v>944132</v>
      </c>
      <c r="CN7" s="31">
        <f>CM7/CM$12</f>
        <v>0.86007983777372499</v>
      </c>
    </row>
    <row r="8" spans="1:92" s="15" customFormat="1" x14ac:dyDescent="0.3">
      <c r="A8" s="13"/>
      <c r="B8" s="13"/>
      <c r="C8" s="13"/>
      <c r="D8" s="14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3"/>
      <c r="AX8" s="14"/>
      <c r="AY8" s="13"/>
      <c r="AZ8" s="14"/>
      <c r="BA8" s="13"/>
      <c r="BB8" s="14"/>
      <c r="BC8" s="13"/>
      <c r="BD8" s="14"/>
      <c r="BE8" s="13"/>
      <c r="BF8" s="14"/>
      <c r="BG8" s="13"/>
      <c r="BH8" s="14"/>
      <c r="BI8" s="13"/>
      <c r="BJ8" s="14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</row>
    <row r="9" spans="1:92" s="15" customFormat="1" x14ac:dyDescent="0.3">
      <c r="A9" s="12" t="s">
        <v>133</v>
      </c>
      <c r="B9" s="13" t="s">
        <v>21</v>
      </c>
      <c r="C9" s="13">
        <v>5290.7110000000002</v>
      </c>
      <c r="D9" s="14">
        <v>1.9046801357240271E-2</v>
      </c>
      <c r="E9" s="13">
        <v>5267.058</v>
      </c>
      <c r="F9" s="14">
        <v>1.9494248445779218E-2</v>
      </c>
      <c r="G9" s="13">
        <v>5356.6769999999997</v>
      </c>
      <c r="H9" s="14">
        <v>1.8674050216164903E-2</v>
      </c>
      <c r="I9" s="13">
        <v>5476.9989999999998</v>
      </c>
      <c r="J9" s="14">
        <v>2.0244559348531515E-2</v>
      </c>
      <c r="K9" s="13">
        <v>6047.3310000000001</v>
      </c>
      <c r="L9" s="14">
        <v>2.441068773249282E-2</v>
      </c>
      <c r="M9" s="13">
        <v>5710.0159999999996</v>
      </c>
      <c r="N9" s="14">
        <v>2.1412004090843789E-2</v>
      </c>
      <c r="O9" s="13">
        <v>5763.8040000000001</v>
      </c>
      <c r="P9" s="14">
        <v>1.9497187707341199E-2</v>
      </c>
      <c r="Q9" s="13">
        <v>5861.3329999999996</v>
      </c>
      <c r="R9" s="14">
        <v>1.9565826039218227E-2</v>
      </c>
      <c r="S9" s="13">
        <v>5845.5950000000003</v>
      </c>
      <c r="T9" s="14">
        <v>2.1491478406078891E-2</v>
      </c>
      <c r="U9" s="13">
        <v>5573.53</v>
      </c>
      <c r="V9" s="14">
        <v>2.1223789765075066E-2</v>
      </c>
      <c r="W9" s="13">
        <v>5766.7529999999997</v>
      </c>
      <c r="X9" s="14">
        <v>2.0174002575162379E-2</v>
      </c>
      <c r="Y9" s="13">
        <v>5846.3779999999997</v>
      </c>
      <c r="Z9" s="14">
        <v>2.0133192534530119E-2</v>
      </c>
      <c r="AA9" s="13">
        <v>6571.549</v>
      </c>
      <c r="AB9" s="14">
        <v>2.6133619254431039E-2</v>
      </c>
      <c r="AC9" s="13">
        <v>6128.7370000000001</v>
      </c>
      <c r="AD9" s="14">
        <v>2.3068489399690934E-2</v>
      </c>
      <c r="AE9" s="13">
        <v>6111.7489999999998</v>
      </c>
      <c r="AF9" s="14">
        <v>2.0754528947639309E-2</v>
      </c>
      <c r="AG9" s="13">
        <v>5928.2889999999998</v>
      </c>
      <c r="AH9" s="14">
        <v>2.0966127215791101E-2</v>
      </c>
      <c r="AI9" s="13">
        <v>5923.5190000000002</v>
      </c>
      <c r="AJ9" s="14">
        <v>2.2671535778150273E-2</v>
      </c>
      <c r="AK9" s="13">
        <v>5707.1719999999996</v>
      </c>
      <c r="AL9" s="14">
        <v>2.0725596857229911E-2</v>
      </c>
      <c r="AM9" s="13">
        <v>6002.4369999999999</v>
      </c>
      <c r="AN9" s="14">
        <v>1.8046808787115745E-2</v>
      </c>
      <c r="AO9" s="13">
        <v>6120.7250000000004</v>
      </c>
      <c r="AP9" s="14">
        <v>1.8737675276847433E-2</v>
      </c>
      <c r="AQ9" s="13">
        <v>6068.7759999999998</v>
      </c>
      <c r="AR9" s="14">
        <f t="shared" si="0"/>
        <v>1.9636726119251543E-2</v>
      </c>
      <c r="AS9" s="13">
        <v>5797.5159999999996</v>
      </c>
      <c r="AT9" s="14">
        <v>1.9123428019797006E-2</v>
      </c>
      <c r="AU9" s="13">
        <v>5864.2730000000001</v>
      </c>
      <c r="AV9" s="14">
        <v>1.6604693514930539E-2</v>
      </c>
      <c r="AW9" s="13">
        <v>6514.3050000000003</v>
      </c>
      <c r="AX9" s="14">
        <v>1.9210426225751899E-2</v>
      </c>
      <c r="AY9" s="13">
        <v>6766.3149999999996</v>
      </c>
      <c r="AZ9" s="14">
        <f>AY9/$AY$12</f>
        <v>2.0473212988962045E-2</v>
      </c>
      <c r="BA9" s="13">
        <v>6404</v>
      </c>
      <c r="BB9" s="14">
        <f t="shared" si="2"/>
        <v>1.9476056372295582E-2</v>
      </c>
      <c r="BC9" s="13">
        <v>6407</v>
      </c>
      <c r="BD9" s="14">
        <f t="shared" si="3"/>
        <v>1.8478301622871909E-2</v>
      </c>
      <c r="BE9" s="13">
        <v>6727</v>
      </c>
      <c r="BF9" s="14">
        <v>1.9545232671656362E-2</v>
      </c>
      <c r="BG9" s="13">
        <v>6729</v>
      </c>
      <c r="BH9" s="14">
        <v>2.0773519551003018E-2</v>
      </c>
      <c r="BI9" s="13">
        <v>6661</v>
      </c>
      <c r="BJ9" s="14">
        <v>1.822444992859058E-2</v>
      </c>
      <c r="BK9" s="13">
        <v>7024</v>
      </c>
      <c r="BL9" s="47">
        <f>BK9/BK$12</f>
        <v>1.6379756635620375E-2</v>
      </c>
      <c r="BM9" s="13">
        <v>7440</v>
      </c>
      <c r="BN9" s="14">
        <f t="shared" ca="1" si="4"/>
        <v>1.9382722803617067E-2</v>
      </c>
      <c r="BO9" s="13">
        <v>7082</v>
      </c>
      <c r="BP9" s="14">
        <f t="shared" si="5"/>
        <v>1.7551338035499204E-2</v>
      </c>
      <c r="BQ9" s="13">
        <v>7047</v>
      </c>
      <c r="BR9" s="14">
        <v>1.5333298519543591E-2</v>
      </c>
      <c r="BS9" s="13">
        <v>14306</v>
      </c>
      <c r="BT9" s="47">
        <f>BS9/BS$12</f>
        <v>2.8767459350329178E-2</v>
      </c>
      <c r="BU9" s="13">
        <v>14511</v>
      </c>
      <c r="BV9" s="14">
        <f t="shared" si="6"/>
        <v>2.9789924678358733E-2</v>
      </c>
      <c r="BW9" s="13">
        <v>14259</v>
      </c>
      <c r="BX9" s="14">
        <f t="shared" si="7"/>
        <v>2.9791217033581192E-2</v>
      </c>
      <c r="BY9" s="13">
        <v>14686</v>
      </c>
      <c r="BZ9" s="14">
        <f t="shared" ref="BZ9:BZ12" si="11">BY9/$BY$12</f>
        <v>3.0878889823380992E-2</v>
      </c>
      <c r="CA9" s="13">
        <v>15256</v>
      </c>
      <c r="CB9" s="47">
        <f>CA9/CA$12</f>
        <v>3.5240743991795026E-2</v>
      </c>
      <c r="CC9" s="13">
        <v>16423</v>
      </c>
      <c r="CD9" s="14">
        <v>3.8533733147504211E-2</v>
      </c>
      <c r="CE9" s="13">
        <v>16678</v>
      </c>
      <c r="CF9" s="14">
        <f t="shared" ref="CF9:CF12" si="12">CE9/$CE$12</f>
        <v>3.7350735906692585E-2</v>
      </c>
      <c r="CG9" s="33">
        <v>17346</v>
      </c>
      <c r="CH9" s="47">
        <f t="shared" ref="CH9:CH12" ca="1" si="13">CG9/$CH$12</f>
        <v>3.7279415083269395E-2</v>
      </c>
      <c r="CI9" s="33">
        <v>18849</v>
      </c>
      <c r="CJ9" s="47">
        <f>CI9/CI$12</f>
        <v>4.1665285118404213E-2</v>
      </c>
      <c r="CK9" s="33">
        <v>21109</v>
      </c>
      <c r="CL9" s="47">
        <f>CK9/CK$12</f>
        <v>3.5787610559455854E-2</v>
      </c>
      <c r="CM9" s="33">
        <v>22267</v>
      </c>
      <c r="CN9" s="47">
        <f>CM9/CM$12</f>
        <v>2.0284661199607187E-2</v>
      </c>
    </row>
    <row r="10" spans="1:92" s="15" customFormat="1" x14ac:dyDescent="0.3">
      <c r="A10" s="12" t="s">
        <v>134</v>
      </c>
      <c r="B10" s="13" t="s">
        <v>22</v>
      </c>
      <c r="C10" s="13">
        <v>35179.542000000001</v>
      </c>
      <c r="D10" s="14">
        <v>0.12664795871721041</v>
      </c>
      <c r="E10" s="13">
        <v>35594.953999999998</v>
      </c>
      <c r="F10" s="14">
        <v>0.13174278253478178</v>
      </c>
      <c r="G10" s="13">
        <v>34733.375</v>
      </c>
      <c r="H10" s="14">
        <v>0.12108491681071804</v>
      </c>
      <c r="I10" s="13">
        <v>35928.027000000002</v>
      </c>
      <c r="J10" s="14">
        <v>0.1328002935324879</v>
      </c>
      <c r="K10" s="13">
        <v>37085.305999999997</v>
      </c>
      <c r="L10" s="14">
        <v>0.14969873887008042</v>
      </c>
      <c r="M10" s="13">
        <v>35776.324000000001</v>
      </c>
      <c r="N10" s="14">
        <v>0.13415773192988475</v>
      </c>
      <c r="O10" s="13">
        <v>36821.898000000001</v>
      </c>
      <c r="P10" s="14">
        <v>0.12455722940033552</v>
      </c>
      <c r="Q10" s="13">
        <v>39255.705000000002</v>
      </c>
      <c r="R10" s="14">
        <v>0.1310402079316888</v>
      </c>
      <c r="S10" s="13">
        <v>38022.269999999997</v>
      </c>
      <c r="T10" s="14">
        <v>0.13978984083828955</v>
      </c>
      <c r="U10" s="13">
        <v>36769.964999999997</v>
      </c>
      <c r="V10" s="14">
        <v>0.14001862497002229</v>
      </c>
      <c r="W10" s="13">
        <v>38752.137999999999</v>
      </c>
      <c r="X10" s="14">
        <v>0.13556775048368605</v>
      </c>
      <c r="Y10" s="13">
        <v>37676.747000000003</v>
      </c>
      <c r="Z10" s="14">
        <v>0.1297475465024294</v>
      </c>
      <c r="AA10" s="13">
        <v>36357.400999999998</v>
      </c>
      <c r="AB10" s="14">
        <v>0.14458546604684377</v>
      </c>
      <c r="AC10" s="13">
        <v>36313.646000000001</v>
      </c>
      <c r="AD10" s="14">
        <v>0.13668410927326938</v>
      </c>
      <c r="AE10" s="13">
        <v>35233.686999999998</v>
      </c>
      <c r="AF10" s="14">
        <v>0.11964800530479291</v>
      </c>
      <c r="AG10" s="13">
        <v>36448.175999999999</v>
      </c>
      <c r="AH10" s="14">
        <v>0.12890348206700855</v>
      </c>
      <c r="AI10" s="13">
        <v>35902.637000000002</v>
      </c>
      <c r="AJ10" s="14">
        <v>0.13741289920323405</v>
      </c>
      <c r="AK10" s="13">
        <v>36231.205999999998</v>
      </c>
      <c r="AL10" s="14">
        <v>0.13157363563026478</v>
      </c>
      <c r="AM10" s="13">
        <v>36935.983999999997</v>
      </c>
      <c r="AN10" s="14">
        <v>0.11105100155353009</v>
      </c>
      <c r="AO10" s="13">
        <v>36653.35</v>
      </c>
      <c r="AP10" s="14">
        <v>0.11220869588302625</v>
      </c>
      <c r="AQ10" s="13">
        <v>35781.254000000001</v>
      </c>
      <c r="AR10" s="14">
        <f t="shared" si="0"/>
        <v>0.11577733055254863</v>
      </c>
      <c r="AS10" s="13">
        <v>38171.017999999996</v>
      </c>
      <c r="AT10" s="14">
        <v>0.12590921959773388</v>
      </c>
      <c r="AU10" s="13">
        <v>41897.055999999997</v>
      </c>
      <c r="AV10" s="14">
        <v>0.11863154632430679</v>
      </c>
      <c r="AW10" s="13">
        <v>42868.387000000002</v>
      </c>
      <c r="AX10" s="14">
        <v>0.12641716743082826</v>
      </c>
      <c r="AY10" s="13">
        <v>42158.968999999997</v>
      </c>
      <c r="AZ10" s="14">
        <f t="shared" ref="AZ10:AZ12" si="14">AY10/$AY$12</f>
        <v>0.12756272088013168</v>
      </c>
      <c r="BA10" s="13">
        <v>42108</v>
      </c>
      <c r="BB10" s="14">
        <f t="shared" si="2"/>
        <v>0.12806024074400724</v>
      </c>
      <c r="BC10" s="13">
        <v>41648</v>
      </c>
      <c r="BD10" s="14">
        <f t="shared" si="3"/>
        <v>0.12011617074908214</v>
      </c>
      <c r="BE10" s="13">
        <v>40673</v>
      </c>
      <c r="BF10" s="14">
        <v>0.11817500348658826</v>
      </c>
      <c r="BG10" s="13">
        <v>40622</v>
      </c>
      <c r="BH10" s="14">
        <v>0.12540673371984615</v>
      </c>
      <c r="BI10" s="13">
        <v>40265</v>
      </c>
      <c r="BJ10" s="14">
        <v>0.11016476150348292</v>
      </c>
      <c r="BK10" s="13">
        <v>36572</v>
      </c>
      <c r="BL10" s="47">
        <f>BK10/BK$12</f>
        <v>8.5284803484895824E-2</v>
      </c>
      <c r="BM10" s="13">
        <v>37373</v>
      </c>
      <c r="BN10" s="14">
        <f t="shared" ca="1" si="4"/>
        <v>9.7364314427362986E-2</v>
      </c>
      <c r="BO10" s="13">
        <v>38284</v>
      </c>
      <c r="BP10" s="14">
        <f t="shared" si="5"/>
        <v>9.4879331453127866E-2</v>
      </c>
      <c r="BQ10" s="13">
        <v>41047</v>
      </c>
      <c r="BR10" s="14">
        <v>8.9312601721541901E-2</v>
      </c>
      <c r="BS10" s="13">
        <v>42210</v>
      </c>
      <c r="BT10" s="47">
        <f>BS10/BS$12</f>
        <v>8.4878684410554642E-2</v>
      </c>
      <c r="BU10" s="13">
        <v>44376</v>
      </c>
      <c r="BV10" s="14">
        <f t="shared" si="6"/>
        <v>9.1100385743701134E-2</v>
      </c>
      <c r="BW10" s="13">
        <v>46700</v>
      </c>
      <c r="BX10" s="14">
        <f t="shared" si="7"/>
        <v>9.7569944278577861E-2</v>
      </c>
      <c r="BY10" s="13">
        <v>49936</v>
      </c>
      <c r="BZ10" s="14">
        <f t="shared" si="11"/>
        <v>0.10499579478553406</v>
      </c>
      <c r="CA10" s="13">
        <v>51515</v>
      </c>
      <c r="CB10" s="47">
        <f>CA10/CA$12</f>
        <v>0.11899756992247776</v>
      </c>
      <c r="CC10" s="13">
        <v>52873</v>
      </c>
      <c r="CD10" s="14">
        <v>0.12405736300968094</v>
      </c>
      <c r="CE10" s="13">
        <v>54205</v>
      </c>
      <c r="CF10" s="14">
        <f t="shared" si="12"/>
        <v>0.12139325097867081</v>
      </c>
      <c r="CG10" s="33">
        <v>47103</v>
      </c>
      <c r="CH10" s="47">
        <f t="shared" ca="1" si="13"/>
        <v>0.1012321162612267</v>
      </c>
      <c r="CI10" s="33">
        <v>46598</v>
      </c>
      <c r="CJ10" s="47">
        <f>CI10/CI$12</f>
        <v>0.10300381749415881</v>
      </c>
      <c r="CK10" s="33">
        <v>57284</v>
      </c>
      <c r="CL10" s="47">
        <f>CK10/CK$12</f>
        <v>9.7117697820260029E-2</v>
      </c>
      <c r="CM10" s="33">
        <v>87914</v>
      </c>
      <c r="CN10" s="47">
        <f>CM10/CM$12</f>
        <v>8.0087380639613168E-2</v>
      </c>
    </row>
    <row r="11" spans="1:92" s="15" customFormat="1" ht="17.5" thickBot="1" x14ac:dyDescent="0.35">
      <c r="A11" s="12" t="s">
        <v>135</v>
      </c>
      <c r="B11" s="13" t="s">
        <v>23</v>
      </c>
      <c r="C11" s="13">
        <v>15052.51299999997</v>
      </c>
      <c r="D11" s="14">
        <v>5.4189734619463477E-2</v>
      </c>
      <c r="E11" s="13">
        <v>12851.167999999998</v>
      </c>
      <c r="F11" s="14">
        <v>4.7564287655546524E-2</v>
      </c>
      <c r="G11" s="13">
        <v>14896.75</v>
      </c>
      <c r="H11" s="14">
        <v>5.193194541273527E-2</v>
      </c>
      <c r="I11" s="13">
        <v>12830.325999999986</v>
      </c>
      <c r="J11" s="14">
        <v>4.7424565198570731E-2</v>
      </c>
      <c r="K11" s="13">
        <v>13368.467999999986</v>
      </c>
      <c r="L11" s="14">
        <v>5.396322738243077E-2</v>
      </c>
      <c r="M11" s="13">
        <v>13755.411000000015</v>
      </c>
      <c r="N11" s="14">
        <v>5.1581452066550772E-2</v>
      </c>
      <c r="O11" s="13">
        <v>13229.299999999974</v>
      </c>
      <c r="P11" s="14">
        <v>4.4750679470837038E-2</v>
      </c>
      <c r="Q11" s="13">
        <v>13047.282000000007</v>
      </c>
      <c r="R11" s="14">
        <v>4.3553377686717923E-2</v>
      </c>
      <c r="S11" s="13">
        <v>13458.834999999985</v>
      </c>
      <c r="T11" s="14">
        <v>4.9481748525766575E-2</v>
      </c>
      <c r="U11" s="13">
        <v>13910.187999999966</v>
      </c>
      <c r="V11" s="14">
        <v>5.2969465617780702E-2</v>
      </c>
      <c r="W11" s="13">
        <v>13294.45900000001</v>
      </c>
      <c r="X11" s="14">
        <v>4.6508399111491489E-2</v>
      </c>
      <c r="Y11" s="13">
        <v>14771.581999999995</v>
      </c>
      <c r="Z11" s="14">
        <v>5.0868949022043967E-2</v>
      </c>
      <c r="AA11" s="13">
        <v>14458.710000000006</v>
      </c>
      <c r="AB11" s="14">
        <v>5.7499140925561805E-2</v>
      </c>
      <c r="AC11" s="13">
        <v>14632.551999999996</v>
      </c>
      <c r="AD11" s="14">
        <v>5.5076742680005078E-2</v>
      </c>
      <c r="AE11" s="13">
        <v>14517.514000000017</v>
      </c>
      <c r="AF11" s="14">
        <v>4.9299171900017376E-2</v>
      </c>
      <c r="AG11" s="13">
        <v>14722.362000000023</v>
      </c>
      <c r="AH11" s="14">
        <v>5.2067453966722813E-2</v>
      </c>
      <c r="AI11" s="13">
        <v>13751.555000000008</v>
      </c>
      <c r="AJ11" s="14">
        <v>5.2632374638741167E-2</v>
      </c>
      <c r="AK11" s="13">
        <v>14230.725999999995</v>
      </c>
      <c r="AL11" s="14">
        <v>5.167888580573704E-2</v>
      </c>
      <c r="AM11" s="13">
        <v>14648.47899999997</v>
      </c>
      <c r="AN11" s="14">
        <v>4.404182826659904E-2</v>
      </c>
      <c r="AO11" s="13">
        <v>13673.644999999975</v>
      </c>
      <c r="AP11" s="14">
        <v>4.1859799265754963E-2</v>
      </c>
      <c r="AQ11" s="13">
        <v>14520.358000000007</v>
      </c>
      <c r="AR11" s="14">
        <f t="shared" si="0"/>
        <v>4.6983492750347564E-2</v>
      </c>
      <c r="AS11" s="13">
        <v>16021.608000000022</v>
      </c>
      <c r="AT11" s="14">
        <v>5.284816244567575E-2</v>
      </c>
      <c r="AU11" s="13">
        <v>14089.725999999995</v>
      </c>
      <c r="AV11" s="14">
        <v>3.9895070017945643E-2</v>
      </c>
      <c r="AW11" s="13">
        <f>AW12-AW7-AW9-AW10</f>
        <v>14292.739000000038</v>
      </c>
      <c r="AX11" s="14">
        <v>4.214871856989006E-2</v>
      </c>
      <c r="AY11" s="13">
        <f>AY12-AY7-AY9-AY10</f>
        <v>16333.454000000012</v>
      </c>
      <c r="AZ11" s="14">
        <f t="shared" si="14"/>
        <v>4.9421033840046515E-2</v>
      </c>
      <c r="BA11" s="13">
        <f>BA12-BA7-BA9-BA10</f>
        <v>16783</v>
      </c>
      <c r="BB11" s="14">
        <f t="shared" si="2"/>
        <v>5.1041014068744034E-2</v>
      </c>
      <c r="BC11" s="13">
        <f>BC12-BC7-BC9-BC10</f>
        <v>17203</v>
      </c>
      <c r="BD11" s="14">
        <f t="shared" si="3"/>
        <v>4.9614831093845083E-2</v>
      </c>
      <c r="BE11" s="13">
        <v>18028</v>
      </c>
      <c r="BF11" s="14">
        <v>5.23801775835619E-2</v>
      </c>
      <c r="BG11" s="13">
        <f>BG12-BG7-BG9-BG10</f>
        <v>17191</v>
      </c>
      <c r="BH11" s="14">
        <v>5.3071418427893133E-2</v>
      </c>
      <c r="BI11" s="13">
        <v>20160</v>
      </c>
      <c r="BJ11" s="14">
        <v>5.5157620561535219E-2</v>
      </c>
      <c r="BK11" s="13">
        <f>BK12-SUM(BK7,BK9:BK10)</f>
        <v>23266</v>
      </c>
      <c r="BL11" s="47">
        <f>BK11/BK$12</f>
        <v>5.4255611885584226E-2</v>
      </c>
      <c r="BM11" s="13">
        <f>BM12-SUM(BM7,BM9:BM10)</f>
        <v>24678</v>
      </c>
      <c r="BN11" s="14">
        <f t="shared" ca="1" si="4"/>
        <v>6.429124104135242E-2</v>
      </c>
      <c r="BO11" s="13">
        <f>BO12-SUM(BO7,BO9:BO10)</f>
        <v>24947</v>
      </c>
      <c r="BP11" s="14">
        <f t="shared" si="5"/>
        <v>6.1826211518158522E-2</v>
      </c>
      <c r="BQ11" s="13">
        <v>25036</v>
      </c>
      <c r="BR11" s="14">
        <v>5.4474877498977343E-2</v>
      </c>
      <c r="BS11" s="13">
        <f>BS12-SUM(BS7,BS9:BS10)</f>
        <v>18995</v>
      </c>
      <c r="BT11" s="47">
        <f>BS11/BS$12</f>
        <v>3.8196413418111475E-2</v>
      </c>
      <c r="BU11" s="13">
        <f>BU12-SUM(BU7,BU9:BU10)</f>
        <v>18935</v>
      </c>
      <c r="BV11" s="14">
        <f t="shared" si="6"/>
        <v>3.8872043538331097E-2</v>
      </c>
      <c r="BW11" s="13">
        <f>BW12-SUM(BW7,BW9:BW10)</f>
        <v>19693</v>
      </c>
      <c r="BX11" s="14">
        <f t="shared" si="7"/>
        <v>4.1144430678330492E-2</v>
      </c>
      <c r="BY11" s="13">
        <f>BY12-SUM(BY7,BY9:BY10)</f>
        <v>20730</v>
      </c>
      <c r="BZ11" s="14">
        <f t="shared" si="11"/>
        <v>4.3587047939444915E-2</v>
      </c>
      <c r="CA11" s="13">
        <f>CA12-SUM(CA7,CA9:CA10)</f>
        <v>23151</v>
      </c>
      <c r="CB11" s="47">
        <f>CA11/CA$12</f>
        <v>5.3477875206741389E-2</v>
      </c>
      <c r="CC11" s="13">
        <v>24058</v>
      </c>
      <c r="CD11" s="14">
        <v>5.644794203633053E-2</v>
      </c>
      <c r="CE11" s="13">
        <f>CE12-SUM(CE7,CE9:CE10)</f>
        <v>24635</v>
      </c>
      <c r="CF11" s="14">
        <f t="shared" si="12"/>
        <v>5.517060673110516E-2</v>
      </c>
      <c r="CG11" s="33">
        <f>CG12-SUM(CG7,CG9:CG10)</f>
        <v>22920</v>
      </c>
      <c r="CH11" s="47">
        <f t="shared" ca="1" si="13"/>
        <v>4.9258860469764472E-2</v>
      </c>
      <c r="CI11" s="33">
        <f>CI12-SUM(CI7,CI9:CI10)</f>
        <v>25483</v>
      </c>
      <c r="CJ11" s="47">
        <f>CI11/CI$12</f>
        <v>5.6329590995399997E-2</v>
      </c>
      <c r="CK11" s="33">
        <v>31236</v>
      </c>
      <c r="CL11" s="47">
        <f>CK11/CK$12</f>
        <v>5.2956644248195697E-2</v>
      </c>
      <c r="CM11" s="33">
        <v>43413</v>
      </c>
      <c r="CN11" s="47">
        <f>CM11/CM$12</f>
        <v>3.9548120387054693E-2</v>
      </c>
    </row>
    <row r="12" spans="1:92" s="15" customFormat="1" ht="17.5" thickBot="1" x14ac:dyDescent="0.35">
      <c r="A12" s="19" t="s">
        <v>136</v>
      </c>
      <c r="B12" s="20" t="s">
        <v>24</v>
      </c>
      <c r="C12" s="20">
        <v>277774.25199999998</v>
      </c>
      <c r="D12" s="21">
        <v>1</v>
      </c>
      <c r="E12" s="20">
        <v>270185.23</v>
      </c>
      <c r="F12" s="21">
        <v>1</v>
      </c>
      <c r="G12" s="20">
        <v>286851.37599999999</v>
      </c>
      <c r="H12" s="21">
        <v>1</v>
      </c>
      <c r="I12" s="20">
        <v>270541.77399999998</v>
      </c>
      <c r="J12" s="21">
        <v>1</v>
      </c>
      <c r="K12" s="20">
        <v>247732.92199999999</v>
      </c>
      <c r="L12" s="21">
        <v>1</v>
      </c>
      <c r="M12" s="20">
        <v>266673.59000000003</v>
      </c>
      <c r="N12" s="21">
        <v>1</v>
      </c>
      <c r="O12" s="20">
        <v>295622.32699999999</v>
      </c>
      <c r="P12" s="21">
        <v>1</v>
      </c>
      <c r="Q12" s="20">
        <v>299569.92300000001</v>
      </c>
      <c r="R12" s="21">
        <v>1</v>
      </c>
      <c r="S12" s="20">
        <v>271995.946</v>
      </c>
      <c r="T12" s="21">
        <v>1</v>
      </c>
      <c r="U12" s="20">
        <v>262607.67099999997</v>
      </c>
      <c r="V12" s="21">
        <v>1</v>
      </c>
      <c r="W12" s="20">
        <v>285850.712</v>
      </c>
      <c r="X12" s="21">
        <v>1</v>
      </c>
      <c r="Y12" s="20">
        <v>290385.04399999999</v>
      </c>
      <c r="Z12" s="21">
        <v>1</v>
      </c>
      <c r="AA12" s="20">
        <v>251459.58300000001</v>
      </c>
      <c r="AB12" s="21">
        <v>1</v>
      </c>
      <c r="AC12" s="20">
        <v>265675.69699999999</v>
      </c>
      <c r="AD12" s="21">
        <v>1</v>
      </c>
      <c r="AE12" s="20">
        <v>294477.84700000001</v>
      </c>
      <c r="AF12" s="21">
        <v>1</v>
      </c>
      <c r="AG12" s="20">
        <v>282755.55800000002</v>
      </c>
      <c r="AH12" s="21">
        <v>1</v>
      </c>
      <c r="AI12" s="20">
        <v>261275.595</v>
      </c>
      <c r="AJ12" s="21">
        <v>1</v>
      </c>
      <c r="AK12" s="20">
        <v>275368.28200000001</v>
      </c>
      <c r="AL12" s="21">
        <v>1</v>
      </c>
      <c r="AM12" s="20">
        <v>332603.78999999998</v>
      </c>
      <c r="AN12" s="21">
        <v>1</v>
      </c>
      <c r="AO12" s="20">
        <v>326653.38199999998</v>
      </c>
      <c r="AP12" s="21">
        <v>1</v>
      </c>
      <c r="AQ12" s="20">
        <v>309052.33199999999</v>
      </c>
      <c r="AR12" s="21">
        <f t="shared" si="0"/>
        <v>1</v>
      </c>
      <c r="AS12" s="20">
        <v>303163.01</v>
      </c>
      <c r="AT12" s="21">
        <v>1</v>
      </c>
      <c r="AU12" s="20">
        <v>353169.60200000001</v>
      </c>
      <c r="AV12" s="21">
        <v>1</v>
      </c>
      <c r="AW12" s="20">
        <v>339102.57500000001</v>
      </c>
      <c r="AX12" s="21">
        <v>1</v>
      </c>
      <c r="AY12" s="20">
        <v>330496</v>
      </c>
      <c r="AZ12" s="32">
        <f t="shared" si="14"/>
        <v>1</v>
      </c>
      <c r="BA12" s="20">
        <v>328814</v>
      </c>
      <c r="BB12" s="32">
        <f t="shared" si="2"/>
        <v>1</v>
      </c>
      <c r="BC12" s="20">
        <v>346731</v>
      </c>
      <c r="BD12" s="32">
        <f t="shared" si="3"/>
        <v>1</v>
      </c>
      <c r="BE12" s="20">
        <v>344176</v>
      </c>
      <c r="BF12" s="32">
        <v>1</v>
      </c>
      <c r="BG12" s="20">
        <v>323922</v>
      </c>
      <c r="BH12" s="32">
        <v>1</v>
      </c>
      <c r="BI12" s="20">
        <v>365498</v>
      </c>
      <c r="BJ12" s="32">
        <v>1</v>
      </c>
      <c r="BK12" s="20">
        <v>428822</v>
      </c>
      <c r="BL12" s="32">
        <f>BK12/BK$12</f>
        <v>1</v>
      </c>
      <c r="BM12" s="20">
        <v>383847</v>
      </c>
      <c r="BN12" s="32">
        <f t="shared" ca="1" si="4"/>
        <v>1</v>
      </c>
      <c r="BO12" s="20">
        <v>403502</v>
      </c>
      <c r="BP12" s="32">
        <f t="shared" si="5"/>
        <v>1</v>
      </c>
      <c r="BQ12" s="20">
        <v>459588</v>
      </c>
      <c r="BR12" s="32">
        <v>1</v>
      </c>
      <c r="BS12" s="20">
        <v>497298</v>
      </c>
      <c r="BT12" s="32">
        <f>BS12/BS$12</f>
        <v>1</v>
      </c>
      <c r="BU12" s="20">
        <v>487111</v>
      </c>
      <c r="BV12" s="32">
        <f t="shared" si="6"/>
        <v>1</v>
      </c>
      <c r="BW12" s="20">
        <v>478631</v>
      </c>
      <c r="BX12" s="32">
        <f t="shared" si="7"/>
        <v>1</v>
      </c>
      <c r="BY12" s="20">
        <v>475600</v>
      </c>
      <c r="BZ12" s="32">
        <f t="shared" si="11"/>
        <v>1</v>
      </c>
      <c r="CA12" s="20">
        <v>432908</v>
      </c>
      <c r="CB12" s="32">
        <f>CA12/CA$12</f>
        <v>1</v>
      </c>
      <c r="CC12" s="20">
        <v>426198</v>
      </c>
      <c r="CD12" s="32">
        <v>1</v>
      </c>
      <c r="CE12" s="20">
        <v>446524</v>
      </c>
      <c r="CF12" s="32">
        <f t="shared" si="12"/>
        <v>1</v>
      </c>
      <c r="CG12" s="20">
        <v>465297</v>
      </c>
      <c r="CH12" s="32">
        <f t="shared" ca="1" si="13"/>
        <v>1</v>
      </c>
      <c r="CI12" s="20">
        <v>452391</v>
      </c>
      <c r="CJ12" s="32">
        <f>CI12/CI$12</f>
        <v>1</v>
      </c>
      <c r="CK12" s="20">
        <v>589841</v>
      </c>
      <c r="CL12" s="32">
        <f>CK12/CK$12</f>
        <v>1</v>
      </c>
      <c r="CM12" s="20">
        <v>1097726</v>
      </c>
      <c r="CN12" s="32">
        <f>CM12/CM$12</f>
        <v>1</v>
      </c>
    </row>
    <row r="13" spans="1:92" s="15" customFormat="1" x14ac:dyDescent="0.3">
      <c r="A13" s="13"/>
      <c r="B13" s="13"/>
      <c r="C13" s="13"/>
      <c r="D13" s="14"/>
      <c r="E13" s="13"/>
      <c r="F13" s="14"/>
      <c r="G13" s="13"/>
      <c r="H13" s="14"/>
      <c r="I13" s="13"/>
      <c r="J13" s="14"/>
      <c r="K13" s="13"/>
      <c r="L13" s="14"/>
      <c r="M13" s="13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3"/>
      <c r="AX13" s="14"/>
      <c r="AY13" s="13"/>
      <c r="AZ13" s="14"/>
      <c r="BA13" s="13"/>
      <c r="BB13" s="14"/>
      <c r="BC13" s="13"/>
      <c r="BD13" s="14"/>
      <c r="BE13" s="13"/>
      <c r="BF13" s="14"/>
      <c r="BG13" s="13"/>
      <c r="BH13" s="14"/>
      <c r="BI13" s="13"/>
      <c r="BJ13" s="14"/>
      <c r="BK13" s="13"/>
      <c r="BL13" s="14"/>
      <c r="BM13" s="13"/>
      <c r="BN13" s="14">
        <f t="shared" ca="1" si="4"/>
        <v>0</v>
      </c>
      <c r="BO13" s="13"/>
      <c r="BP13" s="14"/>
      <c r="BQ13" s="13"/>
      <c r="BR13" s="14"/>
      <c r="BS13" s="13"/>
      <c r="BT13" s="14"/>
      <c r="BU13" s="13"/>
      <c r="BV13" s="14"/>
      <c r="BW13" s="13"/>
      <c r="BX13" s="14"/>
      <c r="BY13" s="13"/>
      <c r="BZ13" s="14"/>
      <c r="CA13" s="13"/>
      <c r="CB13" s="14"/>
      <c r="CC13" s="13"/>
      <c r="CD13" s="14"/>
      <c r="CE13" s="13"/>
      <c r="CF13" s="14"/>
      <c r="CG13" s="13"/>
      <c r="CH13" s="14"/>
      <c r="CI13" s="13"/>
      <c r="CJ13" s="14"/>
      <c r="CK13" s="13"/>
      <c r="CL13" s="14"/>
      <c r="CM13" s="13"/>
      <c r="CN13" s="14"/>
    </row>
    <row r="14" spans="1:92" s="15" customFormat="1" x14ac:dyDescent="0.3">
      <c r="A14" s="12" t="s">
        <v>32</v>
      </c>
      <c r="B14" s="13" t="s">
        <v>25</v>
      </c>
      <c r="C14" s="13">
        <v>75728.205000000002</v>
      </c>
      <c r="D14" s="14">
        <v>0.27262499837457937</v>
      </c>
      <c r="E14" s="13">
        <v>69492.519</v>
      </c>
      <c r="F14" s="14">
        <v>0.25720324904510883</v>
      </c>
      <c r="G14" s="13">
        <v>64698.021000000001</v>
      </c>
      <c r="H14" s="14">
        <v>0.22554544413271352</v>
      </c>
      <c r="I14" s="13">
        <v>54552.892999999996</v>
      </c>
      <c r="J14" s="14">
        <v>0.20164314070033415</v>
      </c>
      <c r="K14" s="13">
        <v>52076.620999999999</v>
      </c>
      <c r="L14" s="14">
        <v>0.21021275888394034</v>
      </c>
      <c r="M14" s="13">
        <v>59731.118000000002</v>
      </c>
      <c r="N14" s="14">
        <v>0.22398587726666144</v>
      </c>
      <c r="O14" s="13">
        <v>66083.398000000001</v>
      </c>
      <c r="P14" s="14">
        <v>0.22353994257003465</v>
      </c>
      <c r="Q14" s="13">
        <v>70423.254000000001</v>
      </c>
      <c r="R14" s="14">
        <v>0.23508119004323408</v>
      </c>
      <c r="S14" s="13">
        <v>67631.417000000001</v>
      </c>
      <c r="T14" s="14">
        <v>0.24864862140261459</v>
      </c>
      <c r="U14" s="13">
        <v>70492.032999999996</v>
      </c>
      <c r="V14" s="14">
        <v>0.26843097435641933</v>
      </c>
      <c r="W14" s="13">
        <v>62095.627</v>
      </c>
      <c r="X14" s="14">
        <v>0.21723096845041268</v>
      </c>
      <c r="Y14" s="13">
        <v>77001.896999999997</v>
      </c>
      <c r="Z14" s="14">
        <v>0.26517170422867919</v>
      </c>
      <c r="AA14" s="13">
        <v>62748.161999999997</v>
      </c>
      <c r="AB14" s="14">
        <v>0.24953577529793325</v>
      </c>
      <c r="AC14" s="13">
        <v>64173.112000000001</v>
      </c>
      <c r="AD14" s="14">
        <v>0.24154679078530847</v>
      </c>
      <c r="AE14" s="13">
        <v>68888.884999999995</v>
      </c>
      <c r="AF14" s="14">
        <v>0.23393571265820887</v>
      </c>
      <c r="AG14" s="13">
        <v>44762.258999999998</v>
      </c>
      <c r="AH14" s="14">
        <v>0.15830726482129839</v>
      </c>
      <c r="AI14" s="13">
        <v>49283.478000000003</v>
      </c>
      <c r="AJ14" s="14">
        <v>0.18862641189277554</v>
      </c>
      <c r="AK14" s="13">
        <v>51345.571000000004</v>
      </c>
      <c r="AL14" s="14">
        <v>0.18646145673378609</v>
      </c>
      <c r="AM14" s="13">
        <v>77000.510999999999</v>
      </c>
      <c r="AN14" s="14">
        <v>0.23150821883298445</v>
      </c>
      <c r="AO14" s="13">
        <v>82594.680999999997</v>
      </c>
      <c r="AP14" s="14">
        <v>0.25285114298923744</v>
      </c>
      <c r="AQ14" s="13">
        <v>87567.892999999996</v>
      </c>
      <c r="AR14" s="14">
        <f t="shared" si="0"/>
        <v>0.28334325268899768</v>
      </c>
      <c r="AS14" s="13">
        <v>67062.885999999999</v>
      </c>
      <c r="AT14" s="14">
        <v>0.221210648357133</v>
      </c>
      <c r="AU14" s="13">
        <v>84623.872000000003</v>
      </c>
      <c r="AV14" s="14">
        <v>0.23961255872752038</v>
      </c>
      <c r="AW14" s="13">
        <v>61012.703999999998</v>
      </c>
      <c r="AX14" s="14">
        <v>0.17992403625953002</v>
      </c>
      <c r="AY14" s="13">
        <v>72467.228000000003</v>
      </c>
      <c r="AZ14" s="14">
        <f>AY14/$AY$12</f>
        <v>0.21926809401626646</v>
      </c>
      <c r="BA14" s="13">
        <v>63991</v>
      </c>
      <c r="BB14" s="14">
        <f t="shared" si="2"/>
        <v>0.19461154330411723</v>
      </c>
      <c r="BC14" s="13">
        <v>67541</v>
      </c>
      <c r="BD14" s="14">
        <f t="shared" si="3"/>
        <v>0.19479365848453123</v>
      </c>
      <c r="BE14" s="13">
        <v>57377</v>
      </c>
      <c r="BF14" s="14">
        <v>0.1667083120264051</v>
      </c>
      <c r="BG14" s="13">
        <v>69955</v>
      </c>
      <c r="BH14" s="14">
        <v>0.21596248479572241</v>
      </c>
      <c r="BI14" s="13">
        <v>104330</v>
      </c>
      <c r="BJ14" s="14">
        <v>0.28544615839211157</v>
      </c>
      <c r="BK14" s="13">
        <v>102040</v>
      </c>
      <c r="BL14" s="14">
        <f>BK14/BK$12</f>
        <v>0.2379542094388814</v>
      </c>
      <c r="BM14" s="13">
        <v>110409</v>
      </c>
      <c r="BN14" s="14">
        <f t="shared" ca="1" si="4"/>
        <v>0.28763804328287051</v>
      </c>
      <c r="BO14" s="13">
        <v>107980</v>
      </c>
      <c r="BP14" s="14">
        <f t="shared" si="5"/>
        <v>0.26760709984089298</v>
      </c>
      <c r="BQ14" s="13">
        <v>127795</v>
      </c>
      <c r="BR14" s="14">
        <v>0.27806426625586395</v>
      </c>
      <c r="BS14" s="13">
        <v>140900</v>
      </c>
      <c r="BT14" s="14">
        <f>BS14/BS$12</f>
        <v>0.28333112137993716</v>
      </c>
      <c r="BU14" s="13">
        <v>139725</v>
      </c>
      <c r="BV14" s="14">
        <f t="shared" si="6"/>
        <v>0.28684427163418602</v>
      </c>
      <c r="BW14" s="13">
        <v>130484</v>
      </c>
      <c r="BX14" s="14">
        <f t="shared" si="7"/>
        <v>0.27261919934145512</v>
      </c>
      <c r="BY14" s="13">
        <v>120650</v>
      </c>
      <c r="BZ14" s="14">
        <f t="shared" ref="BZ14:BZ18" si="15">BY14/$BY$12</f>
        <v>0.25367956265769553</v>
      </c>
      <c r="CA14" s="13">
        <v>114279</v>
      </c>
      <c r="CB14" s="14">
        <f>CA14/CA$12</f>
        <v>0.26397987563177394</v>
      </c>
      <c r="CC14" s="13">
        <v>111885</v>
      </c>
      <c r="CD14" s="14">
        <v>0.26251882927653342</v>
      </c>
      <c r="CE14" s="13">
        <v>110922</v>
      </c>
      <c r="CF14" s="14">
        <f t="shared" ref="CF14:CF18" si="16">CE14/$CE$12</f>
        <v>0.24841217941252877</v>
      </c>
      <c r="CG14" s="13">
        <v>103965</v>
      </c>
      <c r="CH14" s="14">
        <f>CG14/$CG$12</f>
        <v>0.22343793319105862</v>
      </c>
      <c r="CI14" s="13">
        <v>95940</v>
      </c>
      <c r="CJ14" s="14">
        <f>CI14/CI$12</f>
        <v>0.21207318447979734</v>
      </c>
      <c r="CK14" s="13">
        <v>81707</v>
      </c>
      <c r="CL14" s="14">
        <f>CK14/CK$12</f>
        <v>0.13852377166049834</v>
      </c>
      <c r="CM14" s="13">
        <v>235166</v>
      </c>
      <c r="CN14" s="14">
        <f>CM14/CM$12</f>
        <v>0.21423014486310793</v>
      </c>
    </row>
    <row r="15" spans="1:92" s="15" customFormat="1" x14ac:dyDescent="0.3">
      <c r="A15" s="12" t="s">
        <v>137</v>
      </c>
      <c r="B15" s="13" t="s">
        <v>26</v>
      </c>
      <c r="C15" s="13">
        <v>212.43600000000001</v>
      </c>
      <c r="D15" s="14">
        <v>7.6477930719079043E-4</v>
      </c>
      <c r="E15" s="13">
        <v>2016.6489999999999</v>
      </c>
      <c r="F15" s="14">
        <v>7.4639498243482816E-3</v>
      </c>
      <c r="G15" s="13">
        <v>2548.7179999999998</v>
      </c>
      <c r="H15" s="14">
        <v>8.885151730978624E-3</v>
      </c>
      <c r="I15" s="13">
        <v>2519.6190000000001</v>
      </c>
      <c r="J15" s="14">
        <v>9.3132345616984101E-3</v>
      </c>
      <c r="K15" s="13">
        <v>1103.192</v>
      </c>
      <c r="L15" s="14">
        <v>4.453150558648802E-3</v>
      </c>
      <c r="M15" s="13">
        <v>1365.5609999999999</v>
      </c>
      <c r="N15" s="14">
        <v>5.1207208032861438E-3</v>
      </c>
      <c r="O15" s="13">
        <v>1655.818</v>
      </c>
      <c r="P15" s="14">
        <v>5.6011263317063331E-3</v>
      </c>
      <c r="Q15" s="13">
        <v>1183.7070000000001</v>
      </c>
      <c r="R15" s="14">
        <v>3.9513546224732316E-3</v>
      </c>
      <c r="S15" s="13">
        <v>947.29899999999998</v>
      </c>
      <c r="T15" s="14">
        <v>3.482768820385286E-3</v>
      </c>
      <c r="U15" s="13">
        <v>503.34300000000002</v>
      </c>
      <c r="V15" s="14">
        <v>1.9167109554846175E-3</v>
      </c>
      <c r="W15" s="13">
        <v>169.364</v>
      </c>
      <c r="X15" s="14">
        <v>5.9249109024433707E-4</v>
      </c>
      <c r="Y15" s="13">
        <v>165.91900000000001</v>
      </c>
      <c r="Z15" s="14">
        <v>5.7137584537583839E-4</v>
      </c>
      <c r="AA15" s="13">
        <v>1935.2090000000001</v>
      </c>
      <c r="AB15" s="14">
        <v>7.6959047530115402E-3</v>
      </c>
      <c r="AC15" s="13">
        <v>1930.434</v>
      </c>
      <c r="AD15" s="14">
        <v>7.2661294269607208E-3</v>
      </c>
      <c r="AE15" s="13">
        <v>1861.915</v>
      </c>
      <c r="AF15" s="14">
        <v>6.3227676341983032E-3</v>
      </c>
      <c r="AG15" s="13">
        <v>1441.16</v>
      </c>
      <c r="AH15" s="14">
        <v>5.0968405720958456E-3</v>
      </c>
      <c r="AI15" s="13">
        <v>150</v>
      </c>
      <c r="AJ15" s="14">
        <v>5.7410643347688103E-4</v>
      </c>
      <c r="AK15" s="13">
        <v>150</v>
      </c>
      <c r="AL15" s="14">
        <v>5.4472504571169162E-4</v>
      </c>
      <c r="AM15" s="13">
        <v>6893.85</v>
      </c>
      <c r="AN15" s="14">
        <v>2.0726913544791538E-2</v>
      </c>
      <c r="AO15" s="13">
        <v>8133.96</v>
      </c>
      <c r="AP15" s="14">
        <v>2.4900890204161426E-2</v>
      </c>
      <c r="AQ15" s="13">
        <v>8821.7749999999996</v>
      </c>
      <c r="AR15" s="14">
        <f t="shared" si="0"/>
        <v>2.8544599365779903E-2</v>
      </c>
      <c r="AS15" s="13">
        <v>3821.7840000000001</v>
      </c>
      <c r="AT15" s="14">
        <v>1.2606366456118772E-2</v>
      </c>
      <c r="AU15" s="13">
        <v>1390.07</v>
      </c>
      <c r="AV15" s="14">
        <v>3.9359842753397553E-3</v>
      </c>
      <c r="AW15" s="29">
        <v>0</v>
      </c>
      <c r="AX15" s="14">
        <v>0</v>
      </c>
      <c r="AY15" s="29">
        <v>0</v>
      </c>
      <c r="AZ15" s="14">
        <f t="shared" ref="AZ15:AZ18" si="17">AY15/$AY$12</f>
        <v>0</v>
      </c>
      <c r="BA15" s="29">
        <v>0</v>
      </c>
      <c r="BB15" s="14">
        <f t="shared" si="2"/>
        <v>0</v>
      </c>
      <c r="BC15" s="29">
        <v>0</v>
      </c>
      <c r="BD15" s="14">
        <f t="shared" si="3"/>
        <v>0</v>
      </c>
      <c r="BE15" s="29">
        <v>2407</v>
      </c>
      <c r="BF15" s="14">
        <v>6.9935149458416621E-3</v>
      </c>
      <c r="BG15" s="29">
        <v>0</v>
      </c>
      <c r="BH15" s="14">
        <v>0</v>
      </c>
      <c r="BI15" s="29">
        <v>10474</v>
      </c>
      <c r="BJ15" s="14">
        <v>2.8656791555630948E-2</v>
      </c>
      <c r="BK15" s="29">
        <v>0</v>
      </c>
      <c r="BL15" s="14">
        <f>BK15/BK$12</f>
        <v>0</v>
      </c>
      <c r="BM15" s="29">
        <v>1255</v>
      </c>
      <c r="BN15" s="14">
        <f t="shared" ca="1" si="4"/>
        <v>3.2695318707714272E-3</v>
      </c>
      <c r="BO15" s="29">
        <v>1226</v>
      </c>
      <c r="BP15" s="14">
        <f t="shared" si="5"/>
        <v>3.0383988183453861E-3</v>
      </c>
      <c r="BQ15" s="29">
        <v>1226</v>
      </c>
      <c r="BR15" s="14">
        <v>2.6676066389897039E-3</v>
      </c>
      <c r="BS15" s="29">
        <v>1218</v>
      </c>
      <c r="BT15" s="14">
        <f>BS15/BS$12</f>
        <v>2.4492356695582931E-3</v>
      </c>
      <c r="BU15" s="44">
        <v>859</v>
      </c>
      <c r="BV15" s="14">
        <f t="shared" si="6"/>
        <v>1.7634584314458102E-3</v>
      </c>
      <c r="BW15" s="44">
        <v>12039</v>
      </c>
      <c r="BX15" s="14">
        <f t="shared" si="7"/>
        <v>2.5152988419053508E-2</v>
      </c>
      <c r="BY15" s="44">
        <v>8591</v>
      </c>
      <c r="BZ15" s="14">
        <f t="shared" si="15"/>
        <v>1.8063498738435661E-2</v>
      </c>
      <c r="CA15" s="44">
        <v>5527</v>
      </c>
      <c r="CB15" s="14">
        <f>CA15/CA$12</f>
        <v>1.2767146830273407E-2</v>
      </c>
      <c r="CC15" s="44">
        <v>13389</v>
      </c>
      <c r="CD15" s="14">
        <v>3.1414976137851422E-2</v>
      </c>
      <c r="CE15" s="44">
        <v>8011</v>
      </c>
      <c r="CF15" s="14">
        <f t="shared" si="16"/>
        <v>1.7940804973528859E-2</v>
      </c>
      <c r="CG15" s="44">
        <v>8326</v>
      </c>
      <c r="CH15" s="14">
        <f t="shared" ref="CH15:CH25" si="18">CG15/$CG$12</f>
        <v>1.7893947306773954E-2</v>
      </c>
      <c r="CI15" s="44">
        <v>4498</v>
      </c>
      <c r="CJ15" s="14">
        <f>CI15/CI$12</f>
        <v>9.9427265352316913E-3</v>
      </c>
      <c r="CK15" s="44">
        <v>5326</v>
      </c>
      <c r="CL15" s="14">
        <f>CK15/CK$12</f>
        <v>9.0295520318187435E-3</v>
      </c>
      <c r="CM15" s="44">
        <v>5147</v>
      </c>
      <c r="CN15" s="14">
        <f>CM15/CM$12</f>
        <v>4.6887839041800956E-3</v>
      </c>
    </row>
    <row r="16" spans="1:92" s="15" customFormat="1" x14ac:dyDescent="0.3">
      <c r="A16" s="12" t="s">
        <v>138</v>
      </c>
      <c r="B16" s="13" t="s">
        <v>27</v>
      </c>
      <c r="C16" s="13">
        <v>104539.91800000001</v>
      </c>
      <c r="D16" s="14">
        <v>0.37634848171600876</v>
      </c>
      <c r="E16" s="13">
        <v>100463.39599999999</v>
      </c>
      <c r="F16" s="14">
        <v>0.37183156162903502</v>
      </c>
      <c r="G16" s="13">
        <v>105210.70300000001</v>
      </c>
      <c r="H16" s="14">
        <v>0.36677775253202904</v>
      </c>
      <c r="I16" s="13">
        <v>95457.45199999999</v>
      </c>
      <c r="J16" s="14">
        <v>0.35283812399337633</v>
      </c>
      <c r="K16" s="13">
        <v>82547.896000000008</v>
      </c>
      <c r="L16" s="14">
        <v>0.3332132658573333</v>
      </c>
      <c r="M16" s="13">
        <v>91553.803000000014</v>
      </c>
      <c r="N16" s="14">
        <v>0.34331784786037495</v>
      </c>
      <c r="O16" s="13">
        <v>108929.639</v>
      </c>
      <c r="P16" s="14">
        <v>0.36847568350275517</v>
      </c>
      <c r="Q16" s="13">
        <v>111750.72899999999</v>
      </c>
      <c r="R16" s="14">
        <v>0.37303721241734933</v>
      </c>
      <c r="S16" s="13">
        <v>89931.197</v>
      </c>
      <c r="T16" s="14">
        <v>0.33063432864547182</v>
      </c>
      <c r="U16" s="13">
        <v>85304.273000000001</v>
      </c>
      <c r="V16" s="14">
        <v>0.32483541960204204</v>
      </c>
      <c r="W16" s="13">
        <v>113524.148</v>
      </c>
      <c r="X16" s="14">
        <v>0.39714488449481283</v>
      </c>
      <c r="Y16" s="13">
        <v>101303.277</v>
      </c>
      <c r="Z16" s="14">
        <v>0.3488584522280011</v>
      </c>
      <c r="AA16" s="13">
        <v>79159.092000000004</v>
      </c>
      <c r="AB16" s="14">
        <v>0.3147984700189374</v>
      </c>
      <c r="AC16" s="13">
        <v>90763.323999999993</v>
      </c>
      <c r="AD16" s="14">
        <v>0.34163201611926136</v>
      </c>
      <c r="AE16" s="13">
        <v>115849.51699999999</v>
      </c>
      <c r="AF16" s="14">
        <v>0.39340656073188413</v>
      </c>
      <c r="AG16" s="13">
        <v>124221.933</v>
      </c>
      <c r="AH16" s="14">
        <v>0.43932622891182921</v>
      </c>
      <c r="AI16" s="13">
        <v>102805.902</v>
      </c>
      <c r="AJ16" s="14">
        <v>0.39347686491729167</v>
      </c>
      <c r="AK16" s="13">
        <v>112845.43400000001</v>
      </c>
      <c r="AL16" s="14">
        <v>0.4097982279600379</v>
      </c>
      <c r="AM16" s="13">
        <v>142590.269</v>
      </c>
      <c r="AN16" s="14">
        <v>0.42870909258129625</v>
      </c>
      <c r="AO16" s="13">
        <v>133110.53599999999</v>
      </c>
      <c r="AP16" s="14">
        <v>0.40749780450765394</v>
      </c>
      <c r="AQ16" s="13">
        <v>109074.19</v>
      </c>
      <c r="AR16" s="14">
        <f t="shared" si="0"/>
        <v>0.3529311340061333</v>
      </c>
      <c r="AS16" s="13">
        <v>105923.50900000001</v>
      </c>
      <c r="AT16" s="14">
        <v>0.34939456828852572</v>
      </c>
      <c r="AU16" s="13">
        <v>135215.73200000002</v>
      </c>
      <c r="AV16" s="14">
        <v>0.38286344927273785</v>
      </c>
      <c r="AW16" s="13">
        <f>138389.226+1078.008</f>
        <v>139467.234</v>
      </c>
      <c r="AX16" s="14">
        <v>0.41128332334250189</v>
      </c>
      <c r="AY16" s="13">
        <f>109659.246+996.619</f>
        <v>110655.86500000001</v>
      </c>
      <c r="AZ16" s="14">
        <f t="shared" si="17"/>
        <v>0.33481756208849728</v>
      </c>
      <c r="BA16" s="13">
        <f>115927+1076</f>
        <v>117003</v>
      </c>
      <c r="BB16" s="14">
        <f t="shared" si="2"/>
        <v>0.35583338908927237</v>
      </c>
      <c r="BC16" s="13">
        <v>139797</v>
      </c>
      <c r="BD16" s="14">
        <f t="shared" si="3"/>
        <v>0.40318575495124465</v>
      </c>
      <c r="BE16" s="13">
        <v>138445</v>
      </c>
      <c r="BF16" s="14">
        <v>0.40225059272000374</v>
      </c>
      <c r="BG16" s="13">
        <f>112309+714</f>
        <v>113023</v>
      </c>
      <c r="BH16" s="14">
        <v>0.34892041911324329</v>
      </c>
      <c r="BI16" s="13">
        <v>118172</v>
      </c>
      <c r="BJ16" s="14">
        <v>0.3233177746526657</v>
      </c>
      <c r="BK16" s="13">
        <f>113855+836</f>
        <v>114691</v>
      </c>
      <c r="BL16" s="14">
        <f>BK16/BK$12</f>
        <v>0.26745596074828248</v>
      </c>
      <c r="BM16" s="13">
        <f>113182+882</f>
        <v>114064</v>
      </c>
      <c r="BN16" s="14">
        <f t="shared" ca="1" si="4"/>
        <v>0.29716006638061521</v>
      </c>
      <c r="BO16" s="13">
        <v>117530</v>
      </c>
      <c r="BP16" s="14">
        <f t="shared" si="5"/>
        <v>0.29127488835247412</v>
      </c>
      <c r="BQ16" s="13">
        <v>157499</v>
      </c>
      <c r="BR16" s="14">
        <v>0.34269606691210386</v>
      </c>
      <c r="BS16" s="13">
        <f>167294+1011+80</f>
        <v>168385</v>
      </c>
      <c r="BT16" s="14">
        <f>BS16/BS$12</f>
        <v>0.3385997932829008</v>
      </c>
      <c r="BU16" s="13">
        <v>151125</v>
      </c>
      <c r="BV16" s="14">
        <f t="shared" si="6"/>
        <v>0.31024756164406059</v>
      </c>
      <c r="BW16" s="13">
        <v>139943</v>
      </c>
      <c r="BX16" s="14">
        <f t="shared" si="7"/>
        <v>0.29238181396524671</v>
      </c>
      <c r="BY16" s="13">
        <v>141392</v>
      </c>
      <c r="BZ16" s="14">
        <f t="shared" si="15"/>
        <v>0.29729184188393609</v>
      </c>
      <c r="CA16" s="13">
        <v>108850</v>
      </c>
      <c r="CB16" s="14">
        <f>CA16/CA$12</f>
        <v>0.25143910484444731</v>
      </c>
      <c r="CC16" s="13">
        <v>100642</v>
      </c>
      <c r="CD16" s="14">
        <v>0.23613907151136326</v>
      </c>
      <c r="CE16" s="13">
        <v>105584</v>
      </c>
      <c r="CF16" s="14">
        <f t="shared" si="16"/>
        <v>0.23645761482025601</v>
      </c>
      <c r="CG16" s="13">
        <v>126585</v>
      </c>
      <c r="CH16" s="14">
        <f t="shared" si="18"/>
        <v>0.27205204417823453</v>
      </c>
      <c r="CI16" s="13">
        <v>119394</v>
      </c>
      <c r="CJ16" s="14">
        <f>CI16/CI$12</f>
        <v>0.26391771719596546</v>
      </c>
      <c r="CK16" s="13">
        <v>177072</v>
      </c>
      <c r="CL16" s="14">
        <f>CK16/CK$12</f>
        <v>0.30020293604547665</v>
      </c>
      <c r="CM16" s="13">
        <v>356112</v>
      </c>
      <c r="CN16" s="14">
        <f>CM16/CM$12</f>
        <v>0.32440882333114091</v>
      </c>
    </row>
    <row r="17" spans="1:92" s="15" customFormat="1" x14ac:dyDescent="0.3">
      <c r="A17" s="12" t="s">
        <v>139</v>
      </c>
      <c r="B17" s="13" t="s">
        <v>28</v>
      </c>
      <c r="C17" s="13">
        <v>13864.796999999993</v>
      </c>
      <c r="D17" s="14">
        <v>4.9913902747184768E-2</v>
      </c>
      <c r="E17" s="13">
        <v>17707.572999999993</v>
      </c>
      <c r="F17" s="14">
        <v>6.5538641768093667E-2</v>
      </c>
      <c r="G17" s="13">
        <v>14830.432000000001</v>
      </c>
      <c r="H17" s="14">
        <v>5.1700752517917156E-2</v>
      </c>
      <c r="I17" s="13">
        <v>18338.594000000026</v>
      </c>
      <c r="J17" s="14">
        <v>6.7784703740428748E-2</v>
      </c>
      <c r="K17" s="13">
        <v>24143.42300000001</v>
      </c>
      <c r="L17" s="14">
        <v>9.7457466714900368E-2</v>
      </c>
      <c r="M17" s="13">
        <v>28835.620999999985</v>
      </c>
      <c r="N17" s="14">
        <v>0.10813077140484734</v>
      </c>
      <c r="O17" s="13">
        <v>25325.055999999982</v>
      </c>
      <c r="P17" s="14">
        <v>8.5666925962598159E-2</v>
      </c>
      <c r="Q17" s="13">
        <v>19500.176000000036</v>
      </c>
      <c r="R17" s="14">
        <v>6.5093904637415934E-2</v>
      </c>
      <c r="S17" s="13">
        <v>17105.562999999995</v>
      </c>
      <c r="T17" s="14">
        <v>6.2889036588802669E-2</v>
      </c>
      <c r="U17" s="13">
        <v>21126.56500000001</v>
      </c>
      <c r="V17" s="14">
        <v>8.0449154130002587E-2</v>
      </c>
      <c r="W17" s="13">
        <v>20705.170999999995</v>
      </c>
      <c r="X17" s="14">
        <v>7.2433512077451093E-2</v>
      </c>
      <c r="Y17" s="13">
        <v>21373.260000000002</v>
      </c>
      <c r="Z17" s="14">
        <v>7.3603170829968784E-2</v>
      </c>
      <c r="AA17" s="13">
        <v>20414.550999999996</v>
      </c>
      <c r="AB17" s="14">
        <v>8.1184223549754297E-2</v>
      </c>
      <c r="AC17" s="13">
        <v>24301.19200000001</v>
      </c>
      <c r="AD17" s="14">
        <v>9.1469382688774928E-2</v>
      </c>
      <c r="AE17" s="13">
        <v>23151.881000000016</v>
      </c>
      <c r="AF17" s="14">
        <v>7.8620110938260199E-2</v>
      </c>
      <c r="AG17" s="13">
        <v>27027.854999999992</v>
      </c>
      <c r="AH17" s="14">
        <v>9.5587351814318683E-2</v>
      </c>
      <c r="AI17" s="13">
        <v>27304.777999999991</v>
      </c>
      <c r="AJ17" s="14">
        <v>0.10450565809638665</v>
      </c>
      <c r="AK17" s="13">
        <v>30156.105999999992</v>
      </c>
      <c r="AL17" s="14">
        <v>0.10951190812891076</v>
      </c>
      <c r="AM17" s="13">
        <v>31490.867000000006</v>
      </c>
      <c r="AN17" s="14">
        <v>9.4679820094653783E-2</v>
      </c>
      <c r="AO17" s="13">
        <v>30352.49700000001</v>
      </c>
      <c r="AP17" s="14">
        <v>9.2919585935895846E-2</v>
      </c>
      <c r="AQ17" s="13">
        <v>30409.242000000006</v>
      </c>
      <c r="AR17" s="14">
        <f t="shared" si="0"/>
        <v>9.8395122286280001E-2</v>
      </c>
      <c r="AS17" s="13">
        <v>35146.78</v>
      </c>
      <c r="AT17" s="14">
        <v>0.1159336028495033</v>
      </c>
      <c r="AU17" s="13">
        <v>35512.85399999997</v>
      </c>
      <c r="AV17" s="14">
        <v>0.10055467344553615</v>
      </c>
      <c r="AW17" s="13">
        <f>AW18-AW16-AW14-AW15</f>
        <v>39398.951000000001</v>
      </c>
      <c r="AX17" s="14">
        <v>0.11618593872370329</v>
      </c>
      <c r="AY17" s="13">
        <f>AY18-AY16-AY14-AY15</f>
        <v>39426.072999999989</v>
      </c>
      <c r="AZ17" s="14">
        <f t="shared" si="17"/>
        <v>0.11929364651917115</v>
      </c>
      <c r="BA17" s="13">
        <f>BA18-BA16-BA14-BA15</f>
        <v>48244</v>
      </c>
      <c r="BB17" s="14">
        <f t="shared" si="2"/>
        <v>0.14672124666224673</v>
      </c>
      <c r="BC17" s="13">
        <f>BC18-BC16-BC14-BC15</f>
        <v>35855</v>
      </c>
      <c r="BD17" s="14">
        <f t="shared" si="3"/>
        <v>0.1034086943480681</v>
      </c>
      <c r="BE17" s="13">
        <v>40700</v>
      </c>
      <c r="BF17" s="14">
        <v>0.1182534517223746</v>
      </c>
      <c r="BG17" s="13">
        <f>BG18-BG16-BG14-BG15</f>
        <v>39293</v>
      </c>
      <c r="BH17" s="14">
        <v>0.12130389414735646</v>
      </c>
      <c r="BI17" s="13">
        <v>45451</v>
      </c>
      <c r="BJ17" s="14">
        <v>0.12435362163404451</v>
      </c>
      <c r="BK17" s="13">
        <f>BK18-SUM(BK14:BK16)</f>
        <v>96968</v>
      </c>
      <c r="BL17" s="14">
        <f>BK17/BK$12</f>
        <v>0.22612645806418513</v>
      </c>
      <c r="BM17" s="13">
        <f>BM18-SUM(BM14:BM16)</f>
        <v>45273</v>
      </c>
      <c r="BN17" s="14">
        <f t="shared" ca="1" si="4"/>
        <v>0.11794543138281659</v>
      </c>
      <c r="BO17" s="13">
        <f>BO18-SUM(BO14:BO16)</f>
        <v>59732</v>
      </c>
      <c r="BP17" s="14">
        <f t="shared" si="5"/>
        <v>0.14803396265693849</v>
      </c>
      <c r="BQ17" s="13">
        <v>50670</v>
      </c>
      <c r="BR17" s="14">
        <v>0.11025092038956631</v>
      </c>
      <c r="BS17" s="13">
        <f>BS18-SUM(BS14:BS16)</f>
        <v>55080</v>
      </c>
      <c r="BT17" s="14">
        <f>BS17/BS$12</f>
        <v>0.11075853914554251</v>
      </c>
      <c r="BU17" s="13">
        <f>BU18-SUM(BU14:BU16)</f>
        <v>52783</v>
      </c>
      <c r="BV17" s="14">
        <f t="shared" si="6"/>
        <v>0.10835928566589545</v>
      </c>
      <c r="BW17" s="13">
        <f>BW18-SUM(BW14:BW16)</f>
        <v>64308</v>
      </c>
      <c r="BX17" s="14">
        <f t="shared" si="7"/>
        <v>0.13435820078515601</v>
      </c>
      <c r="BY17" s="13">
        <f>BY18-SUM(BY14:BY16)</f>
        <v>59872</v>
      </c>
      <c r="BZ17" s="14">
        <f t="shared" si="15"/>
        <v>0.12588730025231287</v>
      </c>
      <c r="CA17" s="13">
        <f>CA18-SUM(CA14:CA16)</f>
        <v>58069</v>
      </c>
      <c r="CB17" s="14">
        <f>CA17/CA$12</f>
        <v>0.13413704528444842</v>
      </c>
      <c r="CC17" s="13">
        <v>58060</v>
      </c>
      <c r="CD17" s="14">
        <v>0.13622776268307218</v>
      </c>
      <c r="CE17" s="13">
        <f>CE18-CE14-CE15-CE16</f>
        <v>68071</v>
      </c>
      <c r="CF17" s="14">
        <f t="shared" si="16"/>
        <v>0.15244645304619683</v>
      </c>
      <c r="CG17" s="13">
        <f>CG18-CG14-CG15-CG16</f>
        <v>63291</v>
      </c>
      <c r="CH17" s="14">
        <f t="shared" si="18"/>
        <v>0.13602279834170433</v>
      </c>
      <c r="CI17" s="13">
        <f>CI18-CI14-CI15-CI16</f>
        <v>68420</v>
      </c>
      <c r="CJ17" s="14">
        <f>CI17/CI$12</f>
        <v>0.15124085138740603</v>
      </c>
      <c r="CK17" s="13">
        <v>85482</v>
      </c>
      <c r="CL17" s="14">
        <f>CK17/CK$12</f>
        <v>0.14492380149904804</v>
      </c>
      <c r="CM17" s="13">
        <v>135796</v>
      </c>
      <c r="CN17" s="14">
        <f>CM17/CM$12</f>
        <v>0.12370664446319027</v>
      </c>
    </row>
    <row r="18" spans="1:92" s="15" customFormat="1" ht="17.5" thickBot="1" x14ac:dyDescent="0.35">
      <c r="A18" s="16" t="s">
        <v>140</v>
      </c>
      <c r="B18" s="17" t="s">
        <v>33</v>
      </c>
      <c r="C18" s="17">
        <v>194345.356</v>
      </c>
      <c r="D18" s="18">
        <v>0.69965216214496373</v>
      </c>
      <c r="E18" s="17">
        <v>189680.13699999999</v>
      </c>
      <c r="F18" s="18">
        <v>0.70203740226658573</v>
      </c>
      <c r="G18" s="17">
        <v>187287.87400000001</v>
      </c>
      <c r="H18" s="18">
        <v>0.6529091009136383</v>
      </c>
      <c r="I18" s="17">
        <v>168348.93900000001</v>
      </c>
      <c r="J18" s="18">
        <v>0.62226596843413917</v>
      </c>
      <c r="K18" s="17">
        <v>159871.13200000001</v>
      </c>
      <c r="L18" s="18">
        <v>0.64533664201482277</v>
      </c>
      <c r="M18" s="17">
        <v>181486.103</v>
      </c>
      <c r="N18" s="18">
        <v>0.68055521733516988</v>
      </c>
      <c r="O18" s="17">
        <v>201993.91099999999</v>
      </c>
      <c r="P18" s="18">
        <v>0.68328367836709436</v>
      </c>
      <c r="Q18" s="17">
        <v>202857.86600000001</v>
      </c>
      <c r="R18" s="18">
        <v>0.67716366172047249</v>
      </c>
      <c r="S18" s="17">
        <v>175615.476</v>
      </c>
      <c r="T18" s="18">
        <v>0.64565475545727435</v>
      </c>
      <c r="U18" s="17">
        <v>177426.21400000001</v>
      </c>
      <c r="V18" s="18">
        <v>0.67563225904394864</v>
      </c>
      <c r="W18" s="17">
        <v>196494.31</v>
      </c>
      <c r="X18" s="18">
        <v>0.68740185611292093</v>
      </c>
      <c r="Y18" s="17">
        <v>199844.353</v>
      </c>
      <c r="Z18" s="18">
        <v>0.68820470313202498</v>
      </c>
      <c r="AA18" s="17">
        <v>164257.014</v>
      </c>
      <c r="AB18" s="18">
        <v>0.65321437361963652</v>
      </c>
      <c r="AC18" s="17">
        <v>181168.06200000001</v>
      </c>
      <c r="AD18" s="18">
        <v>0.68191431902030553</v>
      </c>
      <c r="AE18" s="17">
        <v>209752.198</v>
      </c>
      <c r="AF18" s="18">
        <v>0.71228515196255149</v>
      </c>
      <c r="AG18" s="17">
        <v>197453.20699999999</v>
      </c>
      <c r="AH18" s="18">
        <v>0.69831768611954215</v>
      </c>
      <c r="AI18" s="17">
        <v>179544.158</v>
      </c>
      <c r="AJ18" s="18">
        <v>0.68718304133993069</v>
      </c>
      <c r="AK18" s="17">
        <v>194497.111</v>
      </c>
      <c r="AL18" s="18">
        <v>0.7063163178684464</v>
      </c>
      <c r="AM18" s="17">
        <v>257975.497</v>
      </c>
      <c r="AN18" s="18">
        <v>0.77562404505372595</v>
      </c>
      <c r="AO18" s="17">
        <v>254191.674</v>
      </c>
      <c r="AP18" s="18">
        <v>0.77816942363694863</v>
      </c>
      <c r="AQ18" s="17">
        <v>235873.1</v>
      </c>
      <c r="AR18" s="18">
        <f t="shared" si="0"/>
        <v>0.76321410834719083</v>
      </c>
      <c r="AS18" s="17">
        <v>211954.959</v>
      </c>
      <c r="AT18" s="18">
        <v>0.69914518595128083</v>
      </c>
      <c r="AU18" s="17">
        <v>256742.52799999999</v>
      </c>
      <c r="AV18" s="18">
        <v>0.72696666572113411</v>
      </c>
      <c r="AW18" s="17">
        <v>239878.889</v>
      </c>
      <c r="AX18" s="18">
        <v>0.70739329832573516</v>
      </c>
      <c r="AY18" s="17">
        <v>222549.166</v>
      </c>
      <c r="AZ18" s="31">
        <f t="shared" si="17"/>
        <v>0.67337930262393497</v>
      </c>
      <c r="BA18" s="17">
        <v>229238</v>
      </c>
      <c r="BB18" s="31">
        <f t="shared" si="2"/>
        <v>0.69716617905563627</v>
      </c>
      <c r="BC18" s="17">
        <v>243193</v>
      </c>
      <c r="BD18" s="31">
        <f t="shared" si="3"/>
        <v>0.70138810778384397</v>
      </c>
      <c r="BE18" s="17">
        <v>238929</v>
      </c>
      <c r="BF18" s="31">
        <v>0.69420587141462509</v>
      </c>
      <c r="BG18" s="17">
        <v>222271</v>
      </c>
      <c r="BH18" s="31">
        <v>0.68618679805632221</v>
      </c>
      <c r="BI18" s="17">
        <v>278427</v>
      </c>
      <c r="BJ18" s="31">
        <v>0.76177434623445273</v>
      </c>
      <c r="BK18" s="17">
        <v>313699</v>
      </c>
      <c r="BL18" s="31">
        <f>BK18/BK$12</f>
        <v>0.73153662825134902</v>
      </c>
      <c r="BM18" s="17">
        <v>271001</v>
      </c>
      <c r="BN18" s="31">
        <f t="shared" ca="1" si="4"/>
        <v>0.70601307291707371</v>
      </c>
      <c r="BO18" s="17">
        <v>286468</v>
      </c>
      <c r="BP18" s="31">
        <f t="shared" si="5"/>
        <v>0.70995434966865101</v>
      </c>
      <c r="BQ18" s="17">
        <v>337190</v>
      </c>
      <c r="BR18" s="31">
        <v>0.73367886019652384</v>
      </c>
      <c r="BS18" s="17">
        <v>365583</v>
      </c>
      <c r="BT18" s="31">
        <f>BS18/BS$12</f>
        <v>0.73513868947793881</v>
      </c>
      <c r="BU18" s="17">
        <v>344492</v>
      </c>
      <c r="BV18" s="31">
        <f t="shared" si="6"/>
        <v>0.70721457737558791</v>
      </c>
      <c r="BW18" s="17">
        <v>346774</v>
      </c>
      <c r="BX18" s="31">
        <f t="shared" si="7"/>
        <v>0.72451220251091131</v>
      </c>
      <c r="BY18" s="17">
        <v>330505</v>
      </c>
      <c r="BZ18" s="31">
        <f t="shared" si="15"/>
        <v>0.6949222035323801</v>
      </c>
      <c r="CA18" s="17">
        <v>286725</v>
      </c>
      <c r="CB18" s="31">
        <f>CA18/CA$12</f>
        <v>0.66232317259094309</v>
      </c>
      <c r="CC18" s="17">
        <v>283976</v>
      </c>
      <c r="CD18" s="31">
        <v>0.66630063960882036</v>
      </c>
      <c r="CE18" s="17">
        <v>292588</v>
      </c>
      <c r="CF18" s="31">
        <f t="shared" si="16"/>
        <v>0.65525705225251052</v>
      </c>
      <c r="CG18" s="17">
        <v>302167</v>
      </c>
      <c r="CH18" s="31">
        <f t="shared" si="18"/>
        <v>0.64940672301777147</v>
      </c>
      <c r="CI18" s="17">
        <v>288252</v>
      </c>
      <c r="CJ18" s="31">
        <f>CI18/CI$12</f>
        <v>0.63717447959840046</v>
      </c>
      <c r="CK18" s="17">
        <v>349587</v>
      </c>
      <c r="CL18" s="31">
        <f>CK18/CK$12</f>
        <v>0.5926800612368418</v>
      </c>
      <c r="CM18" s="17">
        <v>732221</v>
      </c>
      <c r="CN18" s="31">
        <f>CM18/CM$12</f>
        <v>0.66703439656161922</v>
      </c>
    </row>
    <row r="19" spans="1:92" s="15" customFormat="1" x14ac:dyDescent="0.3">
      <c r="A19" s="13"/>
      <c r="B19" s="13"/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3"/>
      <c r="AX19" s="14"/>
      <c r="AY19" s="13"/>
      <c r="AZ19" s="14"/>
      <c r="BA19" s="13"/>
      <c r="BB19" s="14"/>
      <c r="BC19" s="13"/>
      <c r="BD19" s="14"/>
      <c r="BE19" s="13"/>
      <c r="BF19" s="14"/>
      <c r="BG19" s="13"/>
      <c r="BH19" s="14"/>
      <c r="BI19" s="13"/>
      <c r="BJ19" s="14"/>
      <c r="BK19" s="13"/>
      <c r="BL19" s="14"/>
      <c r="BM19" s="13"/>
      <c r="BN19" s="14"/>
      <c r="BO19" s="13"/>
      <c r="BP19" s="14"/>
      <c r="BQ19" s="13"/>
      <c r="BR19" s="14"/>
      <c r="BS19" s="13"/>
      <c r="BT19" s="14"/>
      <c r="BU19" s="13"/>
      <c r="BV19" s="14"/>
      <c r="BW19" s="13"/>
      <c r="BX19" s="14"/>
      <c r="BY19" s="13"/>
      <c r="BZ19" s="14"/>
      <c r="CA19" s="13"/>
      <c r="CB19" s="14"/>
      <c r="CC19" s="13"/>
      <c r="CD19" s="14"/>
      <c r="CE19" s="13"/>
      <c r="CF19" s="14"/>
      <c r="CG19" s="13"/>
      <c r="CH19" s="14"/>
      <c r="CI19" s="13"/>
      <c r="CJ19" s="14"/>
      <c r="CK19" s="13"/>
      <c r="CL19" s="14"/>
      <c r="CM19" s="13"/>
      <c r="CN19" s="14"/>
    </row>
    <row r="20" spans="1:92" s="15" customFormat="1" x14ac:dyDescent="0.3">
      <c r="A20" s="12" t="s">
        <v>141</v>
      </c>
      <c r="B20" s="13" t="s">
        <v>30</v>
      </c>
      <c r="C20" s="13">
        <v>4716.0219999999999</v>
      </c>
      <c r="D20" s="14">
        <v>1.6977894697021812E-2</v>
      </c>
      <c r="E20" s="13">
        <v>3044.5839999999998</v>
      </c>
      <c r="F20" s="14">
        <v>1.1268506424277893E-2</v>
      </c>
      <c r="G20" s="13">
        <v>19980.650000000001</v>
      </c>
      <c r="H20" s="14">
        <v>6.9655060675044497E-2</v>
      </c>
      <c r="I20" s="13">
        <v>20368.292000000001</v>
      </c>
      <c r="J20" s="14">
        <v>7.5287049755207128E-2</v>
      </c>
      <c r="K20" s="13">
        <v>12597.834000000001</v>
      </c>
      <c r="L20" s="14">
        <v>5.0852482174331276E-2</v>
      </c>
      <c r="M20" s="13">
        <v>13928.252</v>
      </c>
      <c r="N20" s="14">
        <v>5.2229588989295861E-2</v>
      </c>
      <c r="O20" s="13">
        <v>19330.742999999999</v>
      </c>
      <c r="P20" s="14">
        <v>6.5389996744055129E-2</v>
      </c>
      <c r="Q20" s="13">
        <v>19850.992999999999</v>
      </c>
      <c r="R20" s="14">
        <v>6.6264973469983487E-2</v>
      </c>
      <c r="S20" s="13">
        <v>19802.851999999999</v>
      </c>
      <c r="T20" s="14">
        <v>7.2805688067130239E-2</v>
      </c>
      <c r="U20" s="13">
        <v>12683.312</v>
      </c>
      <c r="V20" s="14">
        <v>4.8297568580926951E-2</v>
      </c>
      <c r="W20" s="13">
        <v>13455.207</v>
      </c>
      <c r="X20" s="14">
        <v>4.7070748594112304E-2</v>
      </c>
      <c r="Y20" s="13">
        <v>14068.205</v>
      </c>
      <c r="Z20" s="14">
        <v>4.8446727166844034E-2</v>
      </c>
      <c r="AA20" s="13">
        <v>12136.037</v>
      </c>
      <c r="AB20" s="14">
        <v>4.8262376224492504E-2</v>
      </c>
      <c r="AC20" s="13">
        <v>12140.52</v>
      </c>
      <c r="AD20" s="14">
        <v>4.5696765406434602E-2</v>
      </c>
      <c r="AE20" s="13">
        <v>12651.527</v>
      </c>
      <c r="AF20" s="14">
        <v>4.2962576400526316E-2</v>
      </c>
      <c r="AG20" s="13">
        <v>11567.72</v>
      </c>
      <c r="AH20" s="14">
        <v>4.0910672390743946E-2</v>
      </c>
      <c r="AI20" s="13">
        <v>11152.447</v>
      </c>
      <c r="AJ20" s="14">
        <v>4.2684610478066272E-2</v>
      </c>
      <c r="AK20" s="13">
        <v>11120.423000000001</v>
      </c>
      <c r="AL20" s="14">
        <v>4.0383819513388985E-2</v>
      </c>
      <c r="AM20" s="13">
        <v>3030.683</v>
      </c>
      <c r="AN20" s="14">
        <v>9.1119917785663241E-3</v>
      </c>
      <c r="AO20" s="13">
        <v>733.31600000000003</v>
      </c>
      <c r="AP20" s="14">
        <v>2.2449361935582227E-3</v>
      </c>
      <c r="AQ20" s="29">
        <v>0</v>
      </c>
      <c r="AR20" s="14">
        <f t="shared" si="0"/>
        <v>0</v>
      </c>
      <c r="AS20" s="13">
        <v>16410.099999999999</v>
      </c>
      <c r="AT20" s="14">
        <v>5.4129624851000119E-2</v>
      </c>
      <c r="AU20" s="13">
        <v>20109.001</v>
      </c>
      <c r="AV20" s="14">
        <v>5.6938651815226157E-2</v>
      </c>
      <c r="AW20" s="13">
        <v>20234.382000000001</v>
      </c>
      <c r="AX20" s="14">
        <v>5.9670387345186045E-2</v>
      </c>
      <c r="AY20" s="13">
        <v>20146.238000000001</v>
      </c>
      <c r="AZ20" s="14">
        <f t="shared" ref="AZ20:AZ23" si="19">AY20/$AY$12</f>
        <v>6.0957584963206822E-2</v>
      </c>
      <c r="BA20" s="13">
        <v>14883</v>
      </c>
      <c r="BB20" s="14">
        <f t="shared" si="2"/>
        <v>4.5262671297450839E-2</v>
      </c>
      <c r="BC20" s="13">
        <v>16238</v>
      </c>
      <c r="BD20" s="14">
        <f t="shared" si="3"/>
        <v>4.6831693733759026E-2</v>
      </c>
      <c r="BE20" s="13">
        <v>15752</v>
      </c>
      <c r="BF20" s="14">
        <v>4.5767281855794713E-2</v>
      </c>
      <c r="BG20" s="13">
        <v>12082</v>
      </c>
      <c r="BH20" s="14">
        <v>3.729910287044412E-2</v>
      </c>
      <c r="BI20" s="13">
        <v>836</v>
      </c>
      <c r="BJ20" s="14">
        <v>2.2872902177303294E-3</v>
      </c>
      <c r="BK20" s="13">
        <v>20332</v>
      </c>
      <c r="BL20" s="14">
        <f>BK20/BK$12</f>
        <v>4.7413612174748494E-2</v>
      </c>
      <c r="BM20" s="13">
        <v>16893</v>
      </c>
      <c r="BN20" s="14">
        <f t="shared" ca="1" si="4"/>
        <v>4.4009722623857946E-2</v>
      </c>
      <c r="BO20" s="13">
        <v>26474</v>
      </c>
      <c r="BP20" s="14">
        <f t="shared" si="5"/>
        <v>6.5610579377549549E-2</v>
      </c>
      <c r="BQ20" s="13">
        <v>25472</v>
      </c>
      <c r="BR20" s="14">
        <v>5.5423553269450032E-2</v>
      </c>
      <c r="BS20" s="13">
        <v>23237</v>
      </c>
      <c r="BT20" s="14">
        <f>BS20/BS$12</f>
        <v>4.6726510060366218E-2</v>
      </c>
      <c r="BU20" s="13">
        <v>24172</v>
      </c>
      <c r="BV20" s="14">
        <f t="shared" si="6"/>
        <v>4.9623186501639258E-2</v>
      </c>
      <c r="BW20" s="13">
        <v>13041</v>
      </c>
      <c r="BX20" s="14">
        <f t="shared" si="7"/>
        <v>2.7246459172097084E-2</v>
      </c>
      <c r="BY20" s="13">
        <v>13397</v>
      </c>
      <c r="BZ20" s="14">
        <f t="shared" ref="BZ20:BZ23" si="20">BY20/$BY$12</f>
        <v>2.8168629100084105E-2</v>
      </c>
      <c r="CA20" s="13">
        <v>10949</v>
      </c>
      <c r="CB20" s="14">
        <f>CA20/CA$12</f>
        <v>2.5291747900246703E-2</v>
      </c>
      <c r="CC20" s="13">
        <v>4334</v>
      </c>
      <c r="CD20" s="14">
        <v>1.0168982491705733E-2</v>
      </c>
      <c r="CE20" s="13">
        <v>19894</v>
      </c>
      <c r="CF20" s="14">
        <f t="shared" ref="CF20:CF23" si="21">CE20/$CE$12</f>
        <v>4.4553036342951331E-2</v>
      </c>
      <c r="CG20" s="13">
        <v>16936</v>
      </c>
      <c r="CH20" s="14">
        <f t="shared" si="18"/>
        <v>3.6398257457065056E-2</v>
      </c>
      <c r="CI20" s="13">
        <v>19582</v>
      </c>
      <c r="CJ20" s="14">
        <f>CI20/CI$12</f>
        <v>4.3285564920610711E-2</v>
      </c>
      <c r="CK20" s="13">
        <v>21989</v>
      </c>
      <c r="CL20" s="14">
        <f>CK20/CK$12</f>
        <v>3.7279538044998568E-2</v>
      </c>
      <c r="CM20" s="13">
        <v>44394</v>
      </c>
      <c r="CN20" s="14">
        <f>CM20/CM$12</f>
        <v>4.044178601946205E-2</v>
      </c>
    </row>
    <row r="21" spans="1:92" s="15" customFormat="1" x14ac:dyDescent="0.3">
      <c r="A21" s="12" t="s">
        <v>142</v>
      </c>
      <c r="B21" s="13" t="s">
        <v>29</v>
      </c>
      <c r="C21" s="22">
        <v>7522.0879999999997</v>
      </c>
      <c r="D21" s="14">
        <v>2.7079860519253599E-2</v>
      </c>
      <c r="E21" s="22">
        <v>7730.4359999999997</v>
      </c>
      <c r="F21" s="14">
        <v>2.8611615816304985E-2</v>
      </c>
      <c r="G21" s="22">
        <v>7750.9070000000002</v>
      </c>
      <c r="H21" s="14">
        <v>2.7020637335203164E-2</v>
      </c>
      <c r="I21" s="22">
        <v>7972.1090000000004</v>
      </c>
      <c r="J21" s="14">
        <v>2.9467201615969298E-2</v>
      </c>
      <c r="K21" s="22">
        <v>0</v>
      </c>
      <c r="L21" s="14">
        <v>0</v>
      </c>
      <c r="M21" s="22">
        <v>0</v>
      </c>
      <c r="N21" s="14">
        <v>0</v>
      </c>
      <c r="O21" s="22">
        <v>0</v>
      </c>
      <c r="P21" s="14">
        <v>0</v>
      </c>
      <c r="Q21" s="22">
        <v>0</v>
      </c>
      <c r="R21" s="14">
        <v>0</v>
      </c>
      <c r="S21" s="22">
        <v>0</v>
      </c>
      <c r="T21" s="14">
        <v>0</v>
      </c>
      <c r="U21" s="22">
        <v>0</v>
      </c>
      <c r="V21" s="14">
        <v>0</v>
      </c>
      <c r="W21" s="22">
        <v>0</v>
      </c>
      <c r="X21" s="14">
        <v>0</v>
      </c>
      <c r="Y21" s="22">
        <v>0</v>
      </c>
      <c r="Z21" s="14">
        <v>0</v>
      </c>
      <c r="AA21" s="22">
        <v>0</v>
      </c>
      <c r="AB21" s="14">
        <v>0</v>
      </c>
      <c r="AC21" s="22">
        <v>0</v>
      </c>
      <c r="AD21" s="14">
        <v>0</v>
      </c>
      <c r="AE21" s="22">
        <v>0</v>
      </c>
      <c r="AF21" s="14">
        <v>0</v>
      </c>
      <c r="AG21" s="22">
        <v>0</v>
      </c>
      <c r="AH21" s="14">
        <v>0</v>
      </c>
      <c r="AI21" s="22">
        <v>0</v>
      </c>
      <c r="AJ21" s="14">
        <v>0</v>
      </c>
      <c r="AK21" s="22">
        <v>0</v>
      </c>
      <c r="AL21" s="14">
        <v>0</v>
      </c>
      <c r="AM21" s="22">
        <v>0</v>
      </c>
      <c r="AN21" s="14">
        <v>0</v>
      </c>
      <c r="AO21" s="22">
        <v>0</v>
      </c>
      <c r="AP21" s="14">
        <v>0</v>
      </c>
      <c r="AQ21" s="22">
        <v>0</v>
      </c>
      <c r="AR21" s="14">
        <f>AQ21/$AQ$12</f>
        <v>0</v>
      </c>
      <c r="AS21" s="22">
        <v>0</v>
      </c>
      <c r="AT21" s="14">
        <v>0</v>
      </c>
      <c r="AU21" s="22">
        <v>0</v>
      </c>
      <c r="AV21" s="14">
        <v>0</v>
      </c>
      <c r="AW21" s="22">
        <v>0</v>
      </c>
      <c r="AX21" s="14">
        <v>0</v>
      </c>
      <c r="AY21" s="22">
        <v>0</v>
      </c>
      <c r="AZ21" s="14">
        <f>AY21/$AY$12</f>
        <v>0</v>
      </c>
      <c r="BA21" s="22">
        <v>0</v>
      </c>
      <c r="BB21" s="14">
        <f>BA21/$BA$12</f>
        <v>0</v>
      </c>
      <c r="BC21" s="22">
        <v>0</v>
      </c>
      <c r="BD21" s="14">
        <f>BC21/$BC$12</f>
        <v>0</v>
      </c>
      <c r="BE21" s="22">
        <v>0</v>
      </c>
      <c r="BF21" s="14">
        <f>BE21/$BC$12</f>
        <v>0</v>
      </c>
      <c r="BG21" s="22">
        <v>0</v>
      </c>
      <c r="BH21" s="14">
        <v>0</v>
      </c>
      <c r="BI21" s="22">
        <v>0</v>
      </c>
      <c r="BJ21" s="14">
        <v>0</v>
      </c>
      <c r="BK21" s="36">
        <v>4992</v>
      </c>
      <c r="BL21" s="14">
        <f>BK21/BK$12</f>
        <v>1.1641193782035437E-2</v>
      </c>
      <c r="BM21" s="36">
        <v>4992</v>
      </c>
      <c r="BN21" s="14">
        <f ca="1">BM21/$BN$12</f>
        <v>1.3005181752104354E-2</v>
      </c>
      <c r="BO21" s="36">
        <v>4992</v>
      </c>
      <c r="BP21" s="14">
        <f t="shared" si="5"/>
        <v>1.2371685890032763E-2</v>
      </c>
      <c r="BQ21" s="36">
        <v>9436</v>
      </c>
      <c r="BR21" s="14">
        <v>2.0531432500413414E-2</v>
      </c>
      <c r="BS21" s="36">
        <v>9436</v>
      </c>
      <c r="BT21" s="14">
        <f>BS21/BS$12</f>
        <v>1.8974538405543556E-2</v>
      </c>
      <c r="BU21" s="36">
        <v>9436</v>
      </c>
      <c r="BV21" s="14">
        <f t="shared" si="6"/>
        <v>1.937135478361195E-2</v>
      </c>
      <c r="BW21" s="36">
        <v>9438</v>
      </c>
      <c r="BX21" s="14">
        <f t="shared" si="7"/>
        <v>1.9718739488248777E-2</v>
      </c>
      <c r="BY21" s="36">
        <v>9439</v>
      </c>
      <c r="BZ21" s="14">
        <f t="shared" si="20"/>
        <v>1.9846509671993272E-2</v>
      </c>
      <c r="CA21" s="36">
        <v>9439</v>
      </c>
      <c r="CB21" s="14">
        <f>CA21/CA$12</f>
        <v>2.1803708871168934E-2</v>
      </c>
      <c r="CC21" s="36">
        <v>9440</v>
      </c>
      <c r="CD21" s="14">
        <v>2.2149329654292137E-2</v>
      </c>
      <c r="CE21" s="36">
        <v>9441</v>
      </c>
      <c r="CF21" s="14">
        <f t="shared" si="21"/>
        <v>2.1143320403830476E-2</v>
      </c>
      <c r="CG21" s="36">
        <v>9442</v>
      </c>
      <c r="CH21" s="14">
        <f t="shared" si="18"/>
        <v>2.0292415382003322E-2</v>
      </c>
      <c r="CI21" s="36">
        <v>6943</v>
      </c>
      <c r="CJ21" s="14">
        <f>CI21/CI$12</f>
        <v>1.5347343337953231E-2</v>
      </c>
      <c r="CK21" s="36">
        <v>20504</v>
      </c>
      <c r="CL21" s="14">
        <f>CK21/CK$12</f>
        <v>3.476191041314524E-2</v>
      </c>
      <c r="CM21" s="36">
        <v>51010</v>
      </c>
      <c r="CN21" s="14">
        <f>CM21/CM$12</f>
        <v>4.6468790936900463E-2</v>
      </c>
    </row>
    <row r="22" spans="1:92" s="15" customFormat="1" x14ac:dyDescent="0.3">
      <c r="A22" s="12" t="s">
        <v>143</v>
      </c>
      <c r="B22" s="13" t="s">
        <v>31</v>
      </c>
      <c r="C22" s="13">
        <v>6239.3879999999917</v>
      </c>
      <c r="D22" s="14">
        <v>2.2462081906713196E-2</v>
      </c>
      <c r="E22" s="13">
        <v>6178.570000000027</v>
      </c>
      <c r="F22" s="14">
        <v>2.2867904363240092E-2</v>
      </c>
      <c r="G22" s="13">
        <v>7237.6179999999868</v>
      </c>
      <c r="H22" s="14">
        <v>2.5231247278381497E-2</v>
      </c>
      <c r="I22" s="13">
        <v>7656.4159999999792</v>
      </c>
      <c r="J22" s="14">
        <v>2.8300309733313052E-2</v>
      </c>
      <c r="K22" s="13">
        <v>7582.085999999983</v>
      </c>
      <c r="L22" s="14">
        <v>3.0605887739054656E-2</v>
      </c>
      <c r="M22" s="13">
        <v>7526.6349999999875</v>
      </c>
      <c r="N22" s="14">
        <v>2.8224148480545025E-2</v>
      </c>
      <c r="O22" s="13">
        <v>7410.280000000017</v>
      </c>
      <c r="P22" s="14">
        <v>2.5066712907648607E-2</v>
      </c>
      <c r="Q22" s="13">
        <v>209470.73</v>
      </c>
      <c r="R22" s="14">
        <v>0.69923818753994205</v>
      </c>
      <c r="S22" s="13">
        <v>182336.29300000001</v>
      </c>
      <c r="T22" s="14">
        <v>0.67036400976358668</v>
      </c>
      <c r="U22" s="13">
        <v>184390.63</v>
      </c>
      <c r="V22" s="14">
        <v>0.70215248967346433</v>
      </c>
      <c r="W22" s="13">
        <v>203444.02499999999</v>
      </c>
      <c r="X22" s="14">
        <v>0.71171424963951113</v>
      </c>
      <c r="Y22" s="13">
        <v>207099.62600000002</v>
      </c>
      <c r="Z22" s="14">
        <v>0.71318971234620476</v>
      </c>
      <c r="AA22" s="13">
        <v>171109.796</v>
      </c>
      <c r="AB22" s="14">
        <v>0.68046639526957298</v>
      </c>
      <c r="AC22" s="13">
        <v>6832.1359999999877</v>
      </c>
      <c r="AD22" s="14">
        <v>2.5716074436420835E-2</v>
      </c>
      <c r="AE22" s="13">
        <v>6802.4849999999878</v>
      </c>
      <c r="AF22" s="14">
        <v>2.3100158702260506E-2</v>
      </c>
      <c r="AG22" s="13">
        <v>5766.1820000000025</v>
      </c>
      <c r="AH22" s="14">
        <v>2.0392815762086635E-2</v>
      </c>
      <c r="AI22" s="13">
        <v>5728.2150000000111</v>
      </c>
      <c r="AJ22" s="14">
        <v>2.192403389225852E-2</v>
      </c>
      <c r="AK22" s="13">
        <v>5807.5330000000049</v>
      </c>
      <c r="AL22" s="14">
        <v>2.1090057859314403E-2</v>
      </c>
      <c r="AM22" s="13">
        <v>5859.5130000000254</v>
      </c>
      <c r="AN22" s="14">
        <v>1.7617096305487155E-2</v>
      </c>
      <c r="AO22" s="13">
        <v>5307.3300000000081</v>
      </c>
      <c r="AP22" s="14">
        <v>1.6247589317780302E-2</v>
      </c>
      <c r="AQ22" s="13">
        <v>5526.2179999999935</v>
      </c>
      <c r="AR22" s="14">
        <f t="shared" si="0"/>
        <v>1.7881172305795751E-2</v>
      </c>
      <c r="AS22" s="13">
        <f>AS23-AS20-AS18</f>
        <v>5520.1199999999953</v>
      </c>
      <c r="AT22" s="14">
        <v>0.71735360788243918</v>
      </c>
      <c r="AU22" s="13">
        <v>5712.8900000000031</v>
      </c>
      <c r="AV22" s="14">
        <v>1.6176052433867178E-2</v>
      </c>
      <c r="AW22" s="13">
        <f>AW23-AW20-AW18</f>
        <v>5457.7220000000088</v>
      </c>
      <c r="AX22" s="14">
        <v>0.72348790332836599</v>
      </c>
      <c r="AY22" s="13">
        <f>AY23-AY20-AY18</f>
        <v>6379.752999999997</v>
      </c>
      <c r="AZ22" s="14">
        <f t="shared" si="19"/>
        <v>1.9303570996320671E-2</v>
      </c>
      <c r="BA22" s="13">
        <v>6269</v>
      </c>
      <c r="BB22" s="14">
        <f t="shared" si="2"/>
        <v>1.9065489912230015E-2</v>
      </c>
      <c r="BC22" s="13">
        <f>BC23-BC19-BC20</f>
        <v>249290</v>
      </c>
      <c r="BD22" s="14">
        <f t="shared" si="3"/>
        <v>0.71897234455528924</v>
      </c>
      <c r="BE22" s="13">
        <v>5594</v>
      </c>
      <c r="BF22" s="14">
        <v>1.6253312258844313E-2</v>
      </c>
      <c r="BG22" s="13">
        <f>BG23-BG19-BG20</f>
        <v>227240</v>
      </c>
      <c r="BH22" s="14">
        <v>0.70152691079951346</v>
      </c>
      <c r="BI22" s="13">
        <v>5123</v>
      </c>
      <c r="BJ22" s="14">
        <v>1.4016492566306792E-2</v>
      </c>
      <c r="BK22" s="13">
        <f>BK23-BK20-BK18-BK21</f>
        <v>5873</v>
      </c>
      <c r="BL22" s="14">
        <f>BK22/BK$12</f>
        <v>1.3695659271212765E-2</v>
      </c>
      <c r="BM22" s="13">
        <f>BM23-BM21-BM18-BM20</f>
        <v>5910</v>
      </c>
      <c r="BN22" s="14">
        <f t="shared" ca="1" si="4"/>
        <v>1.5396759646421621E-2</v>
      </c>
      <c r="BO22" s="13">
        <f>BO23-BO21-BO18-BO20</f>
        <v>5744</v>
      </c>
      <c r="BP22" s="14">
        <f t="shared" si="5"/>
        <v>1.4235369341415904E-2</v>
      </c>
      <c r="BQ22" s="13">
        <v>6474</v>
      </c>
      <c r="BR22" s="14">
        <v>1.4086529674404031E-2</v>
      </c>
      <c r="BS22" s="13">
        <f>BS23-BS21-BS18-BS20</f>
        <v>6557</v>
      </c>
      <c r="BT22" s="14">
        <f>BS22/BS$12</f>
        <v>1.3185253107794521E-2</v>
      </c>
      <c r="BU22" s="13">
        <f>BU23-BU21-BU18-BU20</f>
        <v>6566</v>
      </c>
      <c r="BV22" s="14">
        <f t="shared" si="6"/>
        <v>1.3479473877617217E-2</v>
      </c>
      <c r="BW22" s="13">
        <f>BW23-BW21-BW18-BW20</f>
        <v>6842</v>
      </c>
      <c r="BX22" s="14">
        <f t="shared" si="7"/>
        <v>1.4294937018287575E-2</v>
      </c>
      <c r="BY22" s="13">
        <f>BY23-BY21-BY18-BY20</f>
        <v>7477</v>
      </c>
      <c r="BZ22" s="14">
        <f t="shared" si="20"/>
        <v>1.5721194280908325E-2</v>
      </c>
      <c r="CA22" s="13">
        <f>CA23-CA21-CA18-CA20</f>
        <v>7142</v>
      </c>
      <c r="CB22" s="14">
        <f>CA22/CA$12</f>
        <v>1.649773161965129E-2</v>
      </c>
      <c r="CC22" s="13">
        <v>7486</v>
      </c>
      <c r="CD22" s="14">
        <v>1.7564606122037175E-2</v>
      </c>
      <c r="CE22" s="13">
        <f>CE23-CE18-CE20-CE21</f>
        <v>8252</v>
      </c>
      <c r="CF22" s="14">
        <f t="shared" si="21"/>
        <v>1.8480529601992278E-2</v>
      </c>
      <c r="CG22" s="13">
        <v>8742</v>
      </c>
      <c r="CH22" s="14">
        <f t="shared" si="18"/>
        <v>1.8787999922630062E-2</v>
      </c>
      <c r="CI22" s="13">
        <v>8851</v>
      </c>
      <c r="CJ22" s="14">
        <f>CI22/CI$12</f>
        <v>1.9564933873573966E-2</v>
      </c>
      <c r="CK22" s="13">
        <v>10975</v>
      </c>
      <c r="CL22" s="14">
        <f>CK22/CK$12</f>
        <v>1.8606709265717371E-2</v>
      </c>
      <c r="CM22" s="13">
        <v>16813</v>
      </c>
      <c r="CN22" s="14">
        <f>CM22/CM$12</f>
        <v>1.5316208234113067E-2</v>
      </c>
    </row>
    <row r="23" spans="1:92" s="15" customFormat="1" ht="17.5" thickBot="1" x14ac:dyDescent="0.35">
      <c r="A23" s="16" t="s">
        <v>144</v>
      </c>
      <c r="B23" s="17" t="s">
        <v>34</v>
      </c>
      <c r="C23" s="17">
        <v>212822.85399999999</v>
      </c>
      <c r="D23" s="18">
        <v>0.76617199926795232</v>
      </c>
      <c r="E23" s="17">
        <v>206633.72700000001</v>
      </c>
      <c r="F23" s="18">
        <v>0.76478542887040879</v>
      </c>
      <c r="G23" s="17">
        <v>222257.049</v>
      </c>
      <c r="H23" s="18">
        <v>0.77481604620226752</v>
      </c>
      <c r="I23" s="17">
        <v>204345.75599999999</v>
      </c>
      <c r="J23" s="18">
        <v>0.75532052953862872</v>
      </c>
      <c r="K23" s="17">
        <v>180051.052</v>
      </c>
      <c r="L23" s="18">
        <v>0.72679501192820872</v>
      </c>
      <c r="M23" s="17">
        <v>202940.99</v>
      </c>
      <c r="N23" s="18">
        <v>0.76100895480501074</v>
      </c>
      <c r="O23" s="17">
        <v>228734.93400000001</v>
      </c>
      <c r="P23" s="18">
        <v>0.77374038801879808</v>
      </c>
      <c r="Q23" s="17">
        <v>229321.723</v>
      </c>
      <c r="R23" s="18">
        <v>0.76550316100992555</v>
      </c>
      <c r="S23" s="17">
        <v>202139.14499999999</v>
      </c>
      <c r="T23" s="18">
        <v>0.74316969783071696</v>
      </c>
      <c r="U23" s="17">
        <v>197073.94200000001</v>
      </c>
      <c r="V23" s="18">
        <v>0.75045005825439137</v>
      </c>
      <c r="W23" s="17">
        <v>216899.23199999999</v>
      </c>
      <c r="X23" s="18">
        <v>0.75878499823362344</v>
      </c>
      <c r="Y23" s="17">
        <v>221167.83100000001</v>
      </c>
      <c r="Z23" s="18">
        <v>0.76163643951304882</v>
      </c>
      <c r="AA23" s="17">
        <v>183245.83300000001</v>
      </c>
      <c r="AB23" s="18">
        <v>0.72872877149406556</v>
      </c>
      <c r="AC23" s="17">
        <v>200140.71799999999</v>
      </c>
      <c r="AD23" s="18">
        <v>0.75332715886316093</v>
      </c>
      <c r="AE23" s="17">
        <v>229206.21</v>
      </c>
      <c r="AF23" s="18">
        <v>0.77834788706533831</v>
      </c>
      <c r="AG23" s="17">
        <v>214787.109</v>
      </c>
      <c r="AH23" s="18">
        <v>0.75962117427237263</v>
      </c>
      <c r="AI23" s="17">
        <v>196424.82</v>
      </c>
      <c r="AJ23" s="18">
        <v>0.75179168571025556</v>
      </c>
      <c r="AK23" s="17">
        <v>211425.06700000001</v>
      </c>
      <c r="AL23" s="18">
        <v>0.76779019524114989</v>
      </c>
      <c r="AM23" s="17">
        <v>266865.69300000003</v>
      </c>
      <c r="AN23" s="18">
        <v>0.80235313313777945</v>
      </c>
      <c r="AO23" s="17">
        <v>260232.32000000001</v>
      </c>
      <c r="AP23" s="18">
        <v>0.79666194914828714</v>
      </c>
      <c r="AQ23" s="17">
        <v>241399.318</v>
      </c>
      <c r="AR23" s="18">
        <f t="shared" si="0"/>
        <v>0.78109528065298661</v>
      </c>
      <c r="AS23" s="17">
        <v>233885.179</v>
      </c>
      <c r="AT23" s="18">
        <v>0.77148323273343933</v>
      </c>
      <c r="AU23" s="17">
        <v>282564.41899999999</v>
      </c>
      <c r="AV23" s="18">
        <v>0.8000813699702275</v>
      </c>
      <c r="AW23" s="17">
        <v>265570.99300000002</v>
      </c>
      <c r="AX23" s="18">
        <v>0.78315829067355214</v>
      </c>
      <c r="AY23" s="17">
        <v>249075.15700000001</v>
      </c>
      <c r="AZ23" s="31">
        <f t="shared" si="19"/>
        <v>0.7536404585834624</v>
      </c>
      <c r="BA23" s="17">
        <v>250390</v>
      </c>
      <c r="BB23" s="31">
        <f t="shared" si="2"/>
        <v>0.76149434026531715</v>
      </c>
      <c r="BC23" s="17">
        <v>265528</v>
      </c>
      <c r="BD23" s="31">
        <f t="shared" si="3"/>
        <v>0.76580403828904831</v>
      </c>
      <c r="BE23" s="17">
        <v>260275</v>
      </c>
      <c r="BF23" s="31">
        <v>0.75622646552926409</v>
      </c>
      <c r="BG23" s="17">
        <v>239322</v>
      </c>
      <c r="BH23" s="31">
        <v>0.73882601366995759</v>
      </c>
      <c r="BI23" s="17">
        <v>284386</v>
      </c>
      <c r="BJ23" s="31">
        <v>0.77807812901848983</v>
      </c>
      <c r="BK23" s="17">
        <v>344896</v>
      </c>
      <c r="BL23" s="31">
        <f>BK23/BK$12</f>
        <v>0.80428709347934579</v>
      </c>
      <c r="BM23" s="17">
        <v>298796</v>
      </c>
      <c r="BN23" s="31">
        <f t="shared" ca="1" si="4"/>
        <v>0.77842473693945768</v>
      </c>
      <c r="BO23" s="17">
        <v>323678</v>
      </c>
      <c r="BP23" s="31">
        <f t="shared" si="5"/>
        <v>0.80217198427764913</v>
      </c>
      <c r="BQ23" s="17">
        <v>378572</v>
      </c>
      <c r="BR23" s="31">
        <v>0.82372037564079137</v>
      </c>
      <c r="BS23" s="17">
        <v>404813</v>
      </c>
      <c r="BT23" s="31">
        <f>BS23/BS$12</f>
        <v>0.81402499105164305</v>
      </c>
      <c r="BU23" s="17">
        <v>384666</v>
      </c>
      <c r="BV23" s="31">
        <f t="shared" si="6"/>
        <v>0.78968859253845636</v>
      </c>
      <c r="BW23" s="17">
        <v>376095</v>
      </c>
      <c r="BX23" s="31">
        <f t="shared" si="7"/>
        <v>0.78577233818954473</v>
      </c>
      <c r="BY23" s="17">
        <v>360818</v>
      </c>
      <c r="BZ23" s="31">
        <f t="shared" si="20"/>
        <v>0.75865853658536586</v>
      </c>
      <c r="CA23" s="17">
        <v>314255</v>
      </c>
      <c r="CB23" s="31">
        <f>CA23/CA$12</f>
        <v>0.72591636098201007</v>
      </c>
      <c r="CC23" s="17">
        <v>305236</v>
      </c>
      <c r="CD23" s="31">
        <v>0.71618355787685539</v>
      </c>
      <c r="CE23" s="17">
        <v>330175</v>
      </c>
      <c r="CF23" s="31">
        <f t="shared" si="21"/>
        <v>0.73943393860128459</v>
      </c>
      <c r="CG23" s="17">
        <v>337287</v>
      </c>
      <c r="CH23" s="31">
        <f t="shared" si="18"/>
        <v>0.72488539577946987</v>
      </c>
      <c r="CI23" s="17">
        <v>323628</v>
      </c>
      <c r="CJ23" s="31">
        <f>CI23/CI$12</f>
        <v>0.71537232173053844</v>
      </c>
      <c r="CK23" s="17">
        <v>403055</v>
      </c>
      <c r="CL23" s="31">
        <f>CK23/CK$12</f>
        <v>0.68332821896070295</v>
      </c>
      <c r="CM23" s="17">
        <v>844438</v>
      </c>
      <c r="CN23" s="31">
        <f>CM23/CM$12</f>
        <v>0.76926118175209479</v>
      </c>
    </row>
    <row r="24" spans="1:92" s="15" customFormat="1" ht="17.5" thickBot="1" x14ac:dyDescent="0.35">
      <c r="A24" s="13"/>
      <c r="B24" s="13"/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 s="13"/>
      <c r="P24" s="14"/>
      <c r="Q24" s="13"/>
      <c r="R24" s="14"/>
      <c r="S24" s="13"/>
      <c r="T24" s="14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3"/>
      <c r="AF24" s="14"/>
      <c r="AG24" s="13"/>
      <c r="AH24" s="14"/>
      <c r="AI24" s="13"/>
      <c r="AJ24" s="14"/>
      <c r="AK24" s="13"/>
      <c r="AL24" s="14"/>
      <c r="AM24" s="13"/>
      <c r="AN24" s="14"/>
      <c r="AO24" s="13"/>
      <c r="AP24" s="14"/>
      <c r="AQ24" s="13"/>
      <c r="AR24" s="14"/>
      <c r="AS24" s="13"/>
      <c r="AT24" s="14"/>
      <c r="AU24" s="13"/>
      <c r="AV24" s="30"/>
      <c r="AW24" s="13"/>
      <c r="AX24" s="30"/>
      <c r="AY24" s="13"/>
      <c r="AZ24" s="14"/>
      <c r="BA24" s="13"/>
      <c r="BB24" s="14"/>
      <c r="BC24" s="13"/>
      <c r="BD24" s="14"/>
      <c r="BE24" s="13"/>
      <c r="BF24" s="14"/>
      <c r="BG24" s="13"/>
      <c r="BH24" s="14"/>
      <c r="BI24" s="13"/>
      <c r="BJ24" s="14"/>
      <c r="BK24" s="13"/>
      <c r="BL24" s="14"/>
      <c r="BM24" s="13"/>
      <c r="BN24" s="14"/>
      <c r="BO24" s="13"/>
      <c r="BP24" s="14"/>
      <c r="BQ24" s="13"/>
      <c r="BR24" s="14"/>
      <c r="BS24" s="13"/>
      <c r="BT24" s="14"/>
      <c r="BU24" s="13"/>
      <c r="BV24" s="14"/>
      <c r="BW24" s="13"/>
      <c r="BX24" s="14"/>
      <c r="BY24" s="13"/>
      <c r="BZ24" s="14"/>
      <c r="CA24" s="13"/>
      <c r="CB24" s="14"/>
      <c r="CC24" s="13"/>
      <c r="CD24" s="14"/>
      <c r="CE24" s="13"/>
      <c r="CF24" s="14"/>
      <c r="CG24" s="13"/>
      <c r="CH24" s="14"/>
      <c r="CI24" s="13"/>
      <c r="CJ24" s="14"/>
      <c r="CK24" s="13"/>
      <c r="CL24" s="14"/>
      <c r="CM24" s="13"/>
      <c r="CN24" s="14"/>
    </row>
    <row r="25" spans="1:92" s="15" customFormat="1" ht="17.5" thickBot="1" x14ac:dyDescent="0.35">
      <c r="A25" s="19" t="s">
        <v>145</v>
      </c>
      <c r="B25" s="20" t="s">
        <v>146</v>
      </c>
      <c r="C25" s="20">
        <v>64951.398000000001</v>
      </c>
      <c r="D25" s="21">
        <v>0.23382800073204771</v>
      </c>
      <c r="E25" s="20">
        <v>63551.502999999997</v>
      </c>
      <c r="F25" s="21">
        <v>0.23521457112959135</v>
      </c>
      <c r="G25" s="20">
        <v>64594.326999999997</v>
      </c>
      <c r="H25" s="21">
        <v>0.22518395379773251</v>
      </c>
      <c r="I25" s="20">
        <v>66196.017999999996</v>
      </c>
      <c r="J25" s="21">
        <v>0.24467947046137134</v>
      </c>
      <c r="K25" s="20">
        <v>67681.87</v>
      </c>
      <c r="L25" s="21">
        <v>0.27320498807179128</v>
      </c>
      <c r="M25" s="20">
        <v>63732.6</v>
      </c>
      <c r="N25" s="21">
        <v>0.23899104519498909</v>
      </c>
      <c r="O25" s="20">
        <v>66887.392999999996</v>
      </c>
      <c r="P25" s="21">
        <v>0.22625961198120195</v>
      </c>
      <c r="Q25" s="20">
        <v>70248.2</v>
      </c>
      <c r="R25" s="21">
        <v>0.23449683899007442</v>
      </c>
      <c r="S25" s="20">
        <v>69856.801000000007</v>
      </c>
      <c r="T25" s="21">
        <v>0.2568303021692831</v>
      </c>
      <c r="U25" s="20">
        <v>65533.728999999999</v>
      </c>
      <c r="V25" s="21">
        <v>0.24954994174560882</v>
      </c>
      <c r="W25" s="20">
        <v>68951.48</v>
      </c>
      <c r="X25" s="21">
        <v>0.24121500176637656</v>
      </c>
      <c r="Y25" s="20">
        <v>69217.213000000003</v>
      </c>
      <c r="Z25" s="21">
        <v>0.23836356048695126</v>
      </c>
      <c r="AA25" s="20">
        <v>68213.75</v>
      </c>
      <c r="AB25" s="21">
        <v>0.27127122850593449</v>
      </c>
      <c r="AC25" s="20">
        <v>65534.978999999999</v>
      </c>
      <c r="AD25" s="21">
        <v>0.2466728411368391</v>
      </c>
      <c r="AE25" s="20">
        <v>65271.637000000002</v>
      </c>
      <c r="AF25" s="21">
        <v>0.22165211293466161</v>
      </c>
      <c r="AG25" s="20">
        <v>67968.448999999993</v>
      </c>
      <c r="AH25" s="21">
        <v>0.24037882572762723</v>
      </c>
      <c r="AI25" s="20">
        <v>64850.775000000001</v>
      </c>
      <c r="AJ25" s="21">
        <v>0.24820831428974452</v>
      </c>
      <c r="AK25" s="20">
        <v>63943.214999999997</v>
      </c>
      <c r="AL25" s="21">
        <v>0.23220980475885017</v>
      </c>
      <c r="AM25" s="20">
        <v>65738.096999999994</v>
      </c>
      <c r="AN25" s="21">
        <v>0.19764686686222066</v>
      </c>
      <c r="AO25" s="20">
        <v>66421.062000000005</v>
      </c>
      <c r="AP25" s="21">
        <v>0.20333805085171294</v>
      </c>
      <c r="AQ25" s="20">
        <v>67653.013999999996</v>
      </c>
      <c r="AR25" s="21">
        <f t="shared" si="0"/>
        <v>0.21890471934701336</v>
      </c>
      <c r="AS25" s="20">
        <v>69277.831000000006</v>
      </c>
      <c r="AT25" s="21">
        <v>0.22851676726656067</v>
      </c>
      <c r="AU25" s="20">
        <v>70605.183000000005</v>
      </c>
      <c r="AV25" s="21">
        <v>0.1999186300297725</v>
      </c>
      <c r="AW25" s="20">
        <v>73531.581999999995</v>
      </c>
      <c r="AX25" s="21">
        <v>0.21684170932644789</v>
      </c>
      <c r="AY25" s="20">
        <v>81421.471999999994</v>
      </c>
      <c r="AZ25" s="21">
        <f>AY25/$AY$12</f>
        <v>0.24636144461657628</v>
      </c>
      <c r="BA25" s="20">
        <v>78424</v>
      </c>
      <c r="BB25" s="21">
        <f t="shared" si="2"/>
        <v>0.23850565973468282</v>
      </c>
      <c r="BC25" s="20">
        <v>81203</v>
      </c>
      <c r="BD25" s="21">
        <f t="shared" si="3"/>
        <v>0.23419596171095172</v>
      </c>
      <c r="BE25" s="20">
        <v>83901</v>
      </c>
      <c r="BF25" s="21">
        <v>0.24377353447073591</v>
      </c>
      <c r="BG25" s="20">
        <v>84599</v>
      </c>
      <c r="BH25" s="21">
        <v>0.26117089916708341</v>
      </c>
      <c r="BI25" s="20">
        <v>81112</v>
      </c>
      <c r="BJ25" s="21">
        <v>0.22192187098151017</v>
      </c>
      <c r="BK25" s="20">
        <v>83926</v>
      </c>
      <c r="BL25" s="21">
        <f>BK25/BK$12</f>
        <v>0.19571290652065426</v>
      </c>
      <c r="BM25" s="20">
        <v>85051</v>
      </c>
      <c r="BN25" s="21">
        <f t="shared" ca="1" si="4"/>
        <v>0.22157526306054234</v>
      </c>
      <c r="BO25" s="20">
        <v>79824</v>
      </c>
      <c r="BP25" s="21">
        <f t="shared" si="5"/>
        <v>0.19782801572235081</v>
      </c>
      <c r="BQ25" s="20">
        <v>81016</v>
      </c>
      <c r="BR25" s="21">
        <v>0.17627962435920869</v>
      </c>
      <c r="BS25" s="20">
        <v>92485</v>
      </c>
      <c r="BT25" s="21">
        <f>BS25/BS$12</f>
        <v>0.18597500894835692</v>
      </c>
      <c r="BU25" s="20">
        <v>102445</v>
      </c>
      <c r="BV25" s="21">
        <f t="shared" si="6"/>
        <v>0.21031140746154367</v>
      </c>
      <c r="BW25" s="20">
        <v>102536</v>
      </c>
      <c r="BX25" s="21">
        <f t="shared" si="7"/>
        <v>0.21422766181045524</v>
      </c>
      <c r="BY25" s="20">
        <v>114782</v>
      </c>
      <c r="BZ25" s="21">
        <f>BY25/$BY$12</f>
        <v>0.24134146341463414</v>
      </c>
      <c r="CA25" s="20">
        <v>118653</v>
      </c>
      <c r="CB25" s="21">
        <f>CA25/CA$12</f>
        <v>0.27408363901798999</v>
      </c>
      <c r="CC25" s="20">
        <v>120962</v>
      </c>
      <c r="CD25" s="21">
        <v>0.28381644212314466</v>
      </c>
      <c r="CE25" s="20">
        <v>116349</v>
      </c>
      <c r="CF25" s="21">
        <f>CE25/$CE$12</f>
        <v>0.26056606139871541</v>
      </c>
      <c r="CG25" s="20">
        <v>128010</v>
      </c>
      <c r="CH25" s="21">
        <f t="shared" si="18"/>
        <v>0.27511460422053013</v>
      </c>
      <c r="CI25" s="20">
        <v>128763</v>
      </c>
      <c r="CJ25" s="21">
        <f>CI25/CI$12</f>
        <v>0.28462767826946161</v>
      </c>
      <c r="CK25" s="20">
        <v>186785</v>
      </c>
      <c r="CL25" s="21">
        <f>CK25/CK$12</f>
        <v>0.31667008566715438</v>
      </c>
      <c r="CM25" s="20">
        <v>253288</v>
      </c>
      <c r="CN25" s="21">
        <f>CM25/CM$12</f>
        <v>0.23073881824790521</v>
      </c>
    </row>
    <row r="29" spans="1:92" x14ac:dyDescent="0.4">
      <c r="B29" s="53"/>
      <c r="C29" s="53"/>
    </row>
  </sheetData>
  <mergeCells count="1">
    <mergeCell ref="B29:C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ignoredErrors>
    <ignoredError sqref="BM11:BS11 BM17:BS17 AZ6:BB23 BN22 BV6 BV22 BX6 BX17 BX22 BX11 BZ6 BZ22 BZ11 BZ17 CF11 CF17 CF6 CH6 CH17 BU11:BV11 BU17:BV17" formula="1"/>
    <ignoredError sqref="BM6:BS6 CA6 CI6 BU6" formula="1" formulaRange="1"/>
    <ignoredError sqref="BW6 BY6 CE6 CG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IS-YoY</vt:lpstr>
      <vt:lpstr>IS-QoQ</vt:lpstr>
      <vt:lpstr>BS</vt:lpstr>
    </vt:vector>
  </TitlesOfParts>
  <Company>Wistron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9706037</dc:creator>
  <cp:lastModifiedBy>Savannah Chang/WHQ/Wistron</cp:lastModifiedBy>
  <cp:lastPrinted>2025-08-21T07:02:38Z</cp:lastPrinted>
  <dcterms:created xsi:type="dcterms:W3CDTF">2013-01-11T02:44:42Z</dcterms:created>
  <dcterms:modified xsi:type="dcterms:W3CDTF">2026-05-11T09:20:00Z</dcterms:modified>
</cp:coreProperties>
</file>